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C:\Users\clandry\Desktop\AYBRDefEmails\"/>
    </mc:Choice>
  </mc:AlternateContent>
  <xr:revisionPtr revIDLastSave="0" documentId="8_{EE3AFA0E-568A-48D1-9A1F-107C606486F4}" xr6:coauthVersionLast="47" xr6:coauthVersionMax="47" xr10:uidLastSave="{00000000-0000-0000-0000-000000000000}"/>
  <workbookProtection workbookAlgorithmName="SHA-512" workbookHashValue="HABtUp7uOaWxzu4iB5CwGoCap6dlqtiP6WpZjt61q8qYKTkxCl+royeRVBzogvjRYx8uuFn9ctmNpPLV+/uAXg==" workbookSaltValue="fN7onG5SXAVAbkdgrJBEbg==" workbookSpinCount="100000" lockStructure="1"/>
  <bookViews>
    <workbookView xWindow="-110" yWindow="-110" windowWidth="19420" windowHeight="10420" tabRatio="895" xr2:uid="{00000000-000D-0000-FFFF-FFFF00000000}"/>
  </bookViews>
  <sheets>
    <sheet name="Table of Contents" sheetId="13" r:id="rId1"/>
    <sheet name="Budget Prep Instructions-Set-Up" sheetId="4" r:id="rId2"/>
    <sheet name="Final Budget" sheetId="1" r:id="rId3"/>
    <sheet name="Final Budget Hidden Tab" sheetId="14" state="hidden" r:id="rId4"/>
    <sheet name="Draw Request Document Checklist" sheetId="15" r:id="rId5"/>
    <sheet name="Draw Request Instructions" sheetId="9" r:id="rId6"/>
    <sheet name="Draw Request" sheetId="2" r:id="rId7"/>
    <sheet name="App and Cert Instructions" sheetId="10" r:id="rId8"/>
    <sheet name="App and Cert for Payment" sheetId="3" r:id="rId9"/>
    <sheet name="Budget Revision Instructions" sheetId="11" r:id="rId10"/>
    <sheet name="Budget Revision" sheetId="17" r:id="rId11"/>
  </sheets>
  <externalReferences>
    <externalReference r:id="rId12"/>
    <externalReference r:id="rId13"/>
  </externalReferences>
  <definedNames>
    <definedName name="ACQ_REFI_ROW">'Final Budget'!$B$11:$I$11</definedName>
    <definedName name="Beginning_of_Final_Budget_Form">'Final Budget'!$B$2</definedName>
    <definedName name="BEGINNING_OF_MATCH_AND_DRAW">'Draw Request'!$B$4</definedName>
    <definedName name="BUDGET_REMAINING_COLUMN">'Draw Request'!$H$17:$H$61</definedName>
    <definedName name="C_0_1" localSheetId="10">'Budget Revision'!$A$6:$G$15</definedName>
    <definedName name="C_0_1">#REF!</definedName>
    <definedName name="C_O_1_TOTAL" localSheetId="10">'Budget Revision'!$A$16:$D$16</definedName>
    <definedName name="C_O_1_TOTAL">#REF!</definedName>
    <definedName name="C_O_2" localSheetId="10">'Budget Revision'!$A$20:$G$29</definedName>
    <definedName name="C_O_2">#REF!</definedName>
    <definedName name="C_O_2_TOTAL" localSheetId="10">'Budget Revision'!$A$30:$D$31</definedName>
    <definedName name="C_O_2_TOTAL">#REF!</definedName>
    <definedName name="C_O_3" localSheetId="10">'Budget Revision'!$A$35:$G$44</definedName>
    <definedName name="C_O_3">#REF!</definedName>
    <definedName name="C_O_3_TOTAL" localSheetId="10">'Budget Revision'!$A$45:$D$46</definedName>
    <definedName name="C_O_3_TOTAL">#REF!</definedName>
    <definedName name="C_O_4" localSheetId="10">'Budget Revision'!$A$50:$G$59</definedName>
    <definedName name="C_O_4">#REF!</definedName>
    <definedName name="C_O_4_Total" localSheetId="10">'Budget Revision'!$A$60:$D$61</definedName>
    <definedName name="C_O_4_Total">#REF!</definedName>
    <definedName name="CLOSING_COSTS_ROW">'Final Budget'!$B$42:$I$42</definedName>
    <definedName name="CONSTRUCTION_COSTS_ROW">'Final Budget'!$B$21:$I$21</definedName>
    <definedName name="COST_PER_SQ_FOOT">'Final Budget'!$B$26</definedName>
    <definedName name="DRAW_LOG_TDHCA_USE_ONLY">'Draw Request'!$L$16:$O$61</definedName>
    <definedName name="Draw_Req_LOG">'Draw Request'!$A$17:$O$62</definedName>
    <definedName name="DRAW_REQUEST_NAVIGATION_LINKS">'Draw Request'!$W$1:$W$10</definedName>
    <definedName name="Eligibility_Criteria">'Final Budget'!$A$57:$I$62</definedName>
    <definedName name="Eligibility_tests_column" localSheetId="10">'[1]Final Budget'!#REF!</definedName>
    <definedName name="Eligibility_tests_column" localSheetId="4">'[2]Final Budget'!#REF!</definedName>
    <definedName name="Eligibility_tests_column">'Final Budget'!#REF!</definedName>
    <definedName name="Final_Budget_Navigation_Links">'Final Budget'!$J$1:$J$21</definedName>
    <definedName name="HOME_BUDGET_COLUMN">'Final Budget'!$C$9:$C$49</definedName>
    <definedName name="HOME_COST_PER_SQUARE_FOOT">'Final Budget'!$J$27</definedName>
    <definedName name="HOME_COSTS_INCURRED">'Final Budget'!$D$9:$D$50</definedName>
    <definedName name="HOME_COSTS_INCURRED_COLUMN">'Final Budget'!$D$9:$D$50</definedName>
    <definedName name="MATCH_LEVERAGE_BUDGET_COLUMN">'Final Budget'!$E$9:$E$51</definedName>
    <definedName name="MATCH_LOG">'Draw Request'!$B$4:$O$12</definedName>
    <definedName name="Match_log_TDHCA_USE_ONLY">'Draw Request'!$L$3:$O$11</definedName>
    <definedName name="MATCH_PROVIDED_COLUMN">'Final Budget'!$H$9:$H$53</definedName>
    <definedName name="MATCH_REMAINING_COLUMN">'Draw Request'!$H$4:$H$11</definedName>
    <definedName name="MATCH_SOURCE_COLUMN">'Final Budget'!$G$9:$G$47</definedName>
    <definedName name="Navigation_Links_FINAL">'Final Budget'!$J$1:$J$21</definedName>
    <definedName name="_xlnm.Print_Area" localSheetId="8">'App and Cert for Payment'!$A$1:$E$24</definedName>
    <definedName name="_xlnm.Print_Area" localSheetId="10">'Budget Revision'!$A$1:$G$61</definedName>
    <definedName name="_xlnm.Print_Area" localSheetId="6">'Draw Request'!$A$1:$V$62</definedName>
    <definedName name="_xlnm.Print_Area" localSheetId="4">'Draw Request Document Checklist'!$A$2:$B$32</definedName>
    <definedName name="_xlnm.Print_Area" localSheetId="2">'Final Budget'!$A$1:$I$94</definedName>
    <definedName name="_xlnm.Print_Area" localSheetId="0">'Table of Contents'!$A$1:$I$45</definedName>
    <definedName name="Project_Budget_Column">'Final Budget'!$B$9:$B$49</definedName>
    <definedName name="REQUEST_LESS_RETAINAGE_COLUMN">'Draw Request'!$J$17:$J$62</definedName>
    <definedName name="REQUEST_LESS_RETAINIAGE_LOG">'Draw Request'!$J$62</definedName>
    <definedName name="RETAINAIGE_HELD_COLUMN">'Draw Request'!$K$17:$K$62</definedName>
    <definedName name="REV_NAV_LINKS" localSheetId="10">'Budget Revision'!$H$1:$H$9</definedName>
    <definedName name="REV_NAV_LINKS">#REF!</definedName>
    <definedName name="SEC_3_BEG_FORM">#REF!</definedName>
    <definedName name="Sec_3_Col_A">#REF!</definedName>
    <definedName name="Sec_3_Col_B">#REF!</definedName>
    <definedName name="SEC_3_COL_C">#REF!</definedName>
    <definedName name="SEC_3_COL_D">#REF!</definedName>
    <definedName name="SEC_3_COL_E">#REF!</definedName>
    <definedName name="SEC_3_COL_F">#REF!</definedName>
    <definedName name="SEC_3_PART_1">#REF!</definedName>
    <definedName name="SEC_3_PART_2">#REF!</definedName>
    <definedName name="SEC_3_Part_3">#REF!</definedName>
    <definedName name="Sec_3_Pt_1_INST">#REF!</definedName>
    <definedName name="SEC_3_Reporting_Info">#REF!</definedName>
    <definedName name="Section_3_List_of_Links">#REF!</definedName>
    <definedName name="SOFT_COSTS_ROW">'Final Budget'!$B$47:$I$47</definedName>
    <definedName name="TOTAL_COST_INCURRED_LOG">'Draw Request'!$I$62</definedName>
    <definedName name="TOTAL_HOME_BUDGET">'Final Budget'!$C$49</definedName>
    <definedName name="TOTAL_HOME_FUNDS_DRAWN">'Final Budget'!$D$50</definedName>
    <definedName name="TOTAL_MATCH_BUDGETED">'Final Budget'!$E$51</definedName>
    <definedName name="TOTAL_MATCH_PROVIDED">'Final Budget'!$H$52</definedName>
    <definedName name="TOTAL_MATCH_PROVIDED_LOG">'Draw Request'!$I$12</definedName>
    <definedName name="TOTAL_PROJECT_COST">'Final Budget'!$B$49</definedName>
    <definedName name="TOTAL_REMAINING_BUDGET">'Final Budget'!$I$49</definedName>
    <definedName name="TOTAL_REMAINING_BUDGET_COLUMN">'Final Budget'!$I$9:$I$49</definedName>
    <definedName name="TOTAL_RETAINAGE_LOG">'Draw Request'!$K$62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1" l="1"/>
  <c r="B62" i="1"/>
  <c r="S3" i="1"/>
  <c r="E27" i="1"/>
  <c r="B11" i="1"/>
  <c r="D9" i="1"/>
  <c r="H7" i="2"/>
  <c r="H8" i="2"/>
  <c r="H9" i="2"/>
  <c r="H10" i="2"/>
  <c r="H11" i="2"/>
  <c r="D23" i="1" l="1"/>
  <c r="D24" i="1"/>
  <c r="J26" i="2" l="1"/>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25" i="2"/>
  <c r="J24" i="2"/>
  <c r="J23" i="2"/>
  <c r="J22" i="2"/>
  <c r="J21" i="2"/>
  <c r="J20" i="2"/>
  <c r="J19" i="2"/>
  <c r="J18" i="2"/>
  <c r="J17" i="2"/>
  <c r="D36" i="1" l="1"/>
  <c r="M20" i="1" l="1"/>
  <c r="N20" i="1" l="1"/>
  <c r="O20" i="1"/>
  <c r="Q20" i="1"/>
  <c r="P20" i="1"/>
  <c r="S9" i="1"/>
  <c r="S11" i="1"/>
  <c r="S10" i="1"/>
  <c r="S8" i="1"/>
  <c r="S12" i="1" l="1"/>
  <c r="E53" i="1" s="1"/>
  <c r="D6" i="17"/>
  <c r="D7" i="17"/>
  <c r="D8" i="17"/>
  <c r="D9" i="17"/>
  <c r="D10" i="17"/>
  <c r="D11" i="17"/>
  <c r="D12" i="17"/>
  <c r="D13" i="17"/>
  <c r="D14" i="17"/>
  <c r="D15" i="17"/>
  <c r="B16" i="17"/>
  <c r="C16" i="17"/>
  <c r="D16" i="17" s="1"/>
  <c r="D20" i="17"/>
  <c r="D21" i="17"/>
  <c r="D22" i="17"/>
  <c r="D23" i="17"/>
  <c r="D24" i="17"/>
  <c r="D25" i="17"/>
  <c r="D26" i="17"/>
  <c r="D27" i="17"/>
  <c r="D28" i="17"/>
  <c r="D29" i="17"/>
  <c r="B30" i="17"/>
  <c r="C30" i="17"/>
  <c r="D35" i="17"/>
  <c r="D36" i="17"/>
  <c r="D37" i="17"/>
  <c r="D38" i="17"/>
  <c r="D39" i="17"/>
  <c r="D40" i="17"/>
  <c r="D41" i="17"/>
  <c r="D42" i="17"/>
  <c r="D43" i="17"/>
  <c r="D44" i="17"/>
  <c r="B45" i="17"/>
  <c r="C45" i="17"/>
  <c r="D50" i="17"/>
  <c r="D51" i="17"/>
  <c r="D52" i="17"/>
  <c r="D53" i="17"/>
  <c r="D54" i="17"/>
  <c r="D55" i="17"/>
  <c r="D56" i="17"/>
  <c r="D57" i="17"/>
  <c r="D58" i="17"/>
  <c r="D59" i="17"/>
  <c r="B60" i="17"/>
  <c r="C60" i="17"/>
  <c r="B3" i="3"/>
  <c r="E3" i="3"/>
  <c r="E4" i="3"/>
  <c r="C13" i="3" s="1"/>
  <c r="A18" i="3"/>
  <c r="B1" i="2"/>
  <c r="I12" i="2"/>
  <c r="C22" i="3" s="1"/>
  <c r="H17" i="2"/>
  <c r="K17" i="2"/>
  <c r="H18" i="2"/>
  <c r="K18" i="2"/>
  <c r="H19" i="2"/>
  <c r="K19" i="2"/>
  <c r="H20" i="2"/>
  <c r="K20" i="2"/>
  <c r="H21" i="2"/>
  <c r="K21" i="2"/>
  <c r="H22" i="2"/>
  <c r="K22" i="2"/>
  <c r="H23" i="2"/>
  <c r="K23" i="2"/>
  <c r="H24" i="2"/>
  <c r="K24" i="2"/>
  <c r="H25" i="2"/>
  <c r="K25" i="2"/>
  <c r="H26" i="2"/>
  <c r="K26" i="2"/>
  <c r="H27" i="2"/>
  <c r="K27" i="2"/>
  <c r="H28" i="2"/>
  <c r="K28" i="2"/>
  <c r="H29" i="2"/>
  <c r="K29" i="2"/>
  <c r="H30" i="2"/>
  <c r="K30" i="2"/>
  <c r="H31" i="2"/>
  <c r="K31" i="2"/>
  <c r="H32" i="2"/>
  <c r="K32" i="2"/>
  <c r="H33" i="2"/>
  <c r="K33" i="2"/>
  <c r="H34" i="2"/>
  <c r="K34" i="2"/>
  <c r="H35" i="2"/>
  <c r="K35" i="2"/>
  <c r="H36" i="2"/>
  <c r="K36" i="2"/>
  <c r="H37" i="2"/>
  <c r="K37" i="2"/>
  <c r="H38" i="2"/>
  <c r="K38" i="2"/>
  <c r="H39" i="2"/>
  <c r="K39" i="2"/>
  <c r="H40" i="2"/>
  <c r="K40" i="2"/>
  <c r="H41" i="2"/>
  <c r="K41" i="2"/>
  <c r="H42" i="2"/>
  <c r="K42" i="2"/>
  <c r="H43" i="2"/>
  <c r="K43" i="2"/>
  <c r="H44" i="2"/>
  <c r="K44" i="2"/>
  <c r="H45" i="2"/>
  <c r="K45" i="2"/>
  <c r="H46" i="2"/>
  <c r="K46" i="2"/>
  <c r="H47" i="2"/>
  <c r="K47" i="2"/>
  <c r="H48" i="2"/>
  <c r="K48" i="2"/>
  <c r="H49" i="2"/>
  <c r="K49" i="2"/>
  <c r="H50" i="2"/>
  <c r="K50" i="2"/>
  <c r="H51" i="2"/>
  <c r="K51" i="2"/>
  <c r="H52" i="2"/>
  <c r="K52" i="2"/>
  <c r="H53" i="2"/>
  <c r="K53" i="2"/>
  <c r="H54" i="2"/>
  <c r="K54" i="2"/>
  <c r="H55" i="2"/>
  <c r="K55" i="2"/>
  <c r="H56" i="2"/>
  <c r="K56" i="2"/>
  <c r="H57" i="2"/>
  <c r="K57" i="2"/>
  <c r="H58" i="2"/>
  <c r="K58" i="2"/>
  <c r="H59" i="2"/>
  <c r="K59" i="2"/>
  <c r="H60" i="2"/>
  <c r="K60" i="2"/>
  <c r="H61" i="2"/>
  <c r="K61" i="2"/>
  <c r="I62" i="2"/>
  <c r="D13" i="2" s="1"/>
  <c r="D14" i="2" s="1"/>
  <c r="G13" i="2" s="1"/>
  <c r="S2" i="1"/>
  <c r="S4" i="1"/>
  <c r="S5" i="1"/>
  <c r="D10" i="1"/>
  <c r="C11" i="1"/>
  <c r="E11" i="1"/>
  <c r="A14" i="1"/>
  <c r="D15" i="1"/>
  <c r="D16" i="1"/>
  <c r="S16" i="1"/>
  <c r="D17" i="1"/>
  <c r="A18" i="1"/>
  <c r="D18" i="1" s="1"/>
  <c r="D19" i="1"/>
  <c r="D20" i="1"/>
  <c r="C21" i="1"/>
  <c r="D22" i="1"/>
  <c r="D25" i="1" s="1"/>
  <c r="B25" i="1"/>
  <c r="C25" i="1"/>
  <c r="E25" i="1"/>
  <c r="S26" i="1"/>
  <c r="S28" i="1"/>
  <c r="S29" i="1"/>
  <c r="A30" i="1"/>
  <c r="D30" i="1" s="1"/>
  <c r="A31" i="1"/>
  <c r="D31" i="1" s="1"/>
  <c r="I31" i="1" s="1"/>
  <c r="A32" i="1"/>
  <c r="D32" i="1" s="1"/>
  <c r="I32" i="1" s="1"/>
  <c r="B33" i="1"/>
  <c r="C33" i="1"/>
  <c r="D35" i="1"/>
  <c r="D37" i="1"/>
  <c r="D38" i="1"/>
  <c r="D39" i="1"/>
  <c r="D40" i="1"/>
  <c r="D41" i="1"/>
  <c r="B42" i="1"/>
  <c r="C42" i="1"/>
  <c r="E42" i="1"/>
  <c r="D45" i="1"/>
  <c r="D46" i="1"/>
  <c r="B47" i="1"/>
  <c r="C47" i="1"/>
  <c r="E47" i="1"/>
  <c r="C62" i="1"/>
  <c r="A64" i="1"/>
  <c r="B64" i="1"/>
  <c r="C64" i="1" s="1"/>
  <c r="A65" i="1"/>
  <c r="G82" i="1"/>
  <c r="B17" i="1" s="1"/>
  <c r="M14" i="1" s="1"/>
  <c r="A94" i="1"/>
  <c r="B60" i="1" l="1"/>
  <c r="C60" i="1" s="1"/>
  <c r="D14" i="1"/>
  <c r="H6" i="2"/>
  <c r="H5" i="2"/>
  <c r="H4" i="2"/>
  <c r="H23" i="1" s="1"/>
  <c r="I23" i="1" s="1"/>
  <c r="B31" i="17"/>
  <c r="C57" i="1"/>
  <c r="D27" i="1"/>
  <c r="C31" i="17"/>
  <c r="D31" i="17" s="1"/>
  <c r="C26" i="1"/>
  <c r="B58" i="1" s="1"/>
  <c r="N21" i="1"/>
  <c r="B59" i="1" s="1"/>
  <c r="B61" i="1"/>
  <c r="C61" i="1" s="1"/>
  <c r="B46" i="17"/>
  <c r="B61" i="17" s="1"/>
  <c r="C18" i="3"/>
  <c r="C27" i="1"/>
  <c r="H3" i="1" s="1"/>
  <c r="S6" i="1"/>
  <c r="E51" i="1" s="1"/>
  <c r="C21" i="3" s="1"/>
  <c r="C23" i="3" s="1"/>
  <c r="J62" i="2"/>
  <c r="K62" i="2"/>
  <c r="B21" i="1"/>
  <c r="B27" i="1" s="1"/>
  <c r="D60" i="17"/>
  <c r="D45" i="17"/>
  <c r="D30" i="17"/>
  <c r="A19" i="3"/>
  <c r="D11" i="1"/>
  <c r="C19" i="3"/>
  <c r="C14" i="3"/>
  <c r="D42" i="1"/>
  <c r="D47" i="1"/>
  <c r="D33" i="1"/>
  <c r="I30" i="1"/>
  <c r="I33" i="1" s="1"/>
  <c r="H24" i="1" l="1"/>
  <c r="I24" i="1" s="1"/>
  <c r="H9" i="1"/>
  <c r="I9" i="1" s="1"/>
  <c r="H20" i="1"/>
  <c r="I20" i="1" s="1"/>
  <c r="H14" i="1"/>
  <c r="I14" i="1" s="1"/>
  <c r="H36" i="1"/>
  <c r="I36" i="1" s="1"/>
  <c r="H16" i="1"/>
  <c r="I16" i="1" s="1"/>
  <c r="H40" i="1"/>
  <c r="I40" i="1" s="1"/>
  <c r="H19" i="1"/>
  <c r="I19" i="1" s="1"/>
  <c r="H37" i="1"/>
  <c r="I37" i="1" s="1"/>
  <c r="H39" i="1"/>
  <c r="I39" i="1" s="1"/>
  <c r="H22" i="1"/>
  <c r="I22" i="1" s="1"/>
  <c r="H41" i="1"/>
  <c r="I41" i="1" s="1"/>
  <c r="H15" i="1"/>
  <c r="I15" i="1" s="1"/>
  <c r="H46" i="1"/>
  <c r="I46" i="1" s="1"/>
  <c r="H35" i="1"/>
  <c r="I35" i="1" s="1"/>
  <c r="H10" i="1"/>
  <c r="I10" i="1" s="1"/>
  <c r="H45" i="1"/>
  <c r="I45" i="1" s="1"/>
  <c r="H17" i="1"/>
  <c r="I17" i="1" s="1"/>
  <c r="H18" i="1"/>
  <c r="I18" i="1" s="1"/>
  <c r="H38" i="1"/>
  <c r="I38" i="1" s="1"/>
  <c r="S17" i="1"/>
  <c r="C17" i="3"/>
  <c r="C46" i="17"/>
  <c r="D46" i="17" s="1"/>
  <c r="D50" i="1"/>
  <c r="B26" i="1"/>
  <c r="C58" i="1"/>
  <c r="B63" i="1"/>
  <c r="C63" i="1" s="1"/>
  <c r="C49" i="1"/>
  <c r="B65" i="1"/>
  <c r="C65" i="1" s="1"/>
  <c r="B49" i="1"/>
  <c r="S18" i="1"/>
  <c r="S27" i="1"/>
  <c r="S30" i="1" s="1"/>
  <c r="C59" i="1"/>
  <c r="S19" i="1" l="1"/>
  <c r="S20" i="1" s="1"/>
  <c r="H52" i="1" s="1"/>
  <c r="H11" i="1"/>
  <c r="H47" i="1"/>
  <c r="I47" i="1" s="1"/>
  <c r="H27" i="1"/>
  <c r="I11" i="1"/>
  <c r="H42" i="1"/>
  <c r="I42" i="1"/>
  <c r="I27" i="1"/>
  <c r="V1" i="2"/>
  <c r="C12" i="3"/>
  <c r="C15" i="3" s="1"/>
  <c r="C61" i="17"/>
  <c r="D61" i="17" s="1"/>
  <c r="H54" i="1"/>
  <c r="C11" i="3"/>
  <c r="I49" i="1" l="1"/>
  <c r="G14" i="2"/>
  <c r="S21" i="1"/>
</calcChain>
</file>

<file path=xl/sharedStrings.xml><?xml version="1.0" encoding="utf-8"?>
<sst xmlns="http://schemas.openxmlformats.org/spreadsheetml/2006/main" count="746" uniqueCount="480">
  <si>
    <t>Household Name:</t>
  </si>
  <si>
    <t>Unit Square Footage</t>
  </si>
  <si>
    <t>Activity/Constuction Type</t>
  </si>
  <si>
    <t>Contract for Deed?</t>
  </si>
  <si>
    <t>Appraisal</t>
  </si>
  <si>
    <t>Title Work</t>
  </si>
  <si>
    <t>Recording Fees</t>
  </si>
  <si>
    <t>Survey</t>
  </si>
  <si>
    <t>Number of persons in household</t>
  </si>
  <si>
    <t>Other Closing Requirements</t>
  </si>
  <si>
    <t>HOME FUNDS DRAWN/REQUESTED TO DATE</t>
  </si>
  <si>
    <t>TOTAL MATCH BUDGETED</t>
  </si>
  <si>
    <t>TOTAL MATCH PROVIDED</t>
  </si>
  <si>
    <t>Cost Category List</t>
  </si>
  <si>
    <t>Record of Match Provided</t>
  </si>
  <si>
    <t>TDHCA USE</t>
  </si>
  <si>
    <t>Validation Type List</t>
  </si>
  <si>
    <t>Builder Invoice</t>
  </si>
  <si>
    <t>Related Party Invoice</t>
  </si>
  <si>
    <t>Yes/No List</t>
  </si>
  <si>
    <t>Y</t>
  </si>
  <si>
    <t>TOTALS:</t>
  </si>
  <si>
    <t>Retainage Percentage for Calculation</t>
  </si>
  <si>
    <t>Household Address:</t>
  </si>
  <si>
    <t>Date</t>
  </si>
  <si>
    <t>Contract Number</t>
  </si>
  <si>
    <t>Total Budget</t>
  </si>
  <si>
    <t>Committed HOME Funds</t>
  </si>
  <si>
    <t>Retainage Withheld</t>
  </si>
  <si>
    <t>Costs incurred during period</t>
  </si>
  <si>
    <t>Total Match Required</t>
  </si>
  <si>
    <t>Match Provided to Date</t>
  </si>
  <si>
    <t>Retainage Draw Information</t>
  </si>
  <si>
    <t>Draw Request Log</t>
  </si>
  <si>
    <t>Household Address</t>
  </si>
  <si>
    <t>Info Only: Household Name</t>
  </si>
  <si>
    <t>Info Only: Contract Number</t>
  </si>
  <si>
    <t>Info Only: Draw Request Number</t>
  </si>
  <si>
    <t>Info Only: Total Budget</t>
  </si>
  <si>
    <t>Info Only: Committed HOME Funds</t>
  </si>
  <si>
    <t>Info Only: Retainage Withheld</t>
  </si>
  <si>
    <t>Info Only: Available Balance</t>
  </si>
  <si>
    <t>Info Only: Costs Incurred During Period</t>
  </si>
  <si>
    <t>Info Only:  Less retainage if NOT final draw, plus retainage if final draw</t>
  </si>
  <si>
    <t>Info Only: Amount Requested for current draw number</t>
  </si>
  <si>
    <t>Info Only: Total Match Required</t>
  </si>
  <si>
    <t>Info Only: Match Provided to Date</t>
  </si>
  <si>
    <t>Info Only: Balance of Match</t>
  </si>
  <si>
    <t>Retainage Draw Information- Tab down to navigate.  2 cells only.</t>
  </si>
  <si>
    <t>Retainage</t>
  </si>
  <si>
    <t>Cumulative Amount Disbursed to Date</t>
  </si>
  <si>
    <t>Info Only: Cumulative Amount Disbursed to Date</t>
  </si>
  <si>
    <t>CONTINGENCY CAP FORMULA</t>
  </si>
  <si>
    <t>Use the tab key to complete the form.  Use the list of links or use the arrow keys to access locked cells.</t>
  </si>
  <si>
    <t>Beginning of Fillable Form</t>
  </si>
  <si>
    <t>Project Budget Column</t>
  </si>
  <si>
    <t>HOME Budget Column</t>
  </si>
  <si>
    <t>HOME Costs Incurred Column</t>
  </si>
  <si>
    <t>Match/Leverage Budget Column</t>
  </si>
  <si>
    <t>Match Provided Column</t>
  </si>
  <si>
    <t>Subtotal Construction Costs Row</t>
  </si>
  <si>
    <t>Cost per square foot</t>
  </si>
  <si>
    <t>Subtotal Acquisition/Refinance Costs</t>
  </si>
  <si>
    <t>Acquisition/Refinance Closing Costs</t>
  </si>
  <si>
    <t>Acquisition/Refinance Hard Costs</t>
  </si>
  <si>
    <t>Total HOME Budget</t>
  </si>
  <si>
    <t>Total HOME Funds Drawn to Date</t>
  </si>
  <si>
    <t>Total Match Budgeted</t>
  </si>
  <si>
    <t xml:space="preserve">Total Match Provided </t>
  </si>
  <si>
    <t>Total Remaining in Budget</t>
  </si>
  <si>
    <t>Navigation Links</t>
  </si>
  <si>
    <t>Acquisition Project Soft Costs</t>
  </si>
  <si>
    <t>ELIGIBILITY TESTS</t>
  </si>
  <si>
    <t>Budget Line Items</t>
  </si>
  <si>
    <t>Beginning of Form</t>
  </si>
  <si>
    <t>Draw Request Navigation Links</t>
  </si>
  <si>
    <t>Match Record Section</t>
  </si>
  <si>
    <t>Draw Request Section</t>
  </si>
  <si>
    <t>TDHCA Match Approval Columns</t>
  </si>
  <si>
    <t>Progress inspection(s)</t>
  </si>
  <si>
    <t>CUMULATIVE:</t>
  </si>
  <si>
    <t>Column C:
HOME Costs Incurred to Date</t>
  </si>
  <si>
    <t>Column G:
Match Provided to Date</t>
  </si>
  <si>
    <t>Column H:
Remaining in Budget</t>
  </si>
  <si>
    <t xml:space="preserve">Project requires additional sitework for accessibility features when more than 50' from paved road or floodplain elevation?  </t>
  </si>
  <si>
    <t>General Information Section</t>
  </si>
  <si>
    <t>Household Name</t>
  </si>
  <si>
    <t>Enter the last name of the household to be assisted.</t>
  </si>
  <si>
    <t>Contract/Reservation Number</t>
  </si>
  <si>
    <t>Applicable Rule Year</t>
  </si>
  <si>
    <t>Applicable Rule Year:</t>
  </si>
  <si>
    <t>Activity/Construction Type</t>
  </si>
  <si>
    <t>Building Contractor Fee (SFD only)</t>
  </si>
  <si>
    <t>Construction Project Soft Costs (Non-LBP)</t>
  </si>
  <si>
    <t>Budget Columns</t>
  </si>
  <si>
    <t>Column D:
Match/Leverage Budget</t>
  </si>
  <si>
    <t>Column F:
Match/Leverage Source</t>
  </si>
  <si>
    <t xml:space="preserve">Other Project Soft Costs
This section applies to all projects.  All soft costs paid to the CA or a third party must be reflected in this section.  </t>
  </si>
  <si>
    <t>Draw Request Log Section</t>
  </si>
  <si>
    <t>This is a self-populating column.  This column displays the amount of retainage required to be withheld based on the cost category selected.</t>
  </si>
  <si>
    <t>Completion Instuctions</t>
  </si>
  <si>
    <t xml:space="preserve">This is a self-populating field. </t>
  </si>
  <si>
    <t xml:space="preserve">Enter the street address of the assisted unit.  </t>
  </si>
  <si>
    <t xml:space="preserve">Draw Request Number </t>
  </si>
  <si>
    <t>Use the tab key to complete the Activity Revision form.  Use the list of links or use the arrow keys to access locked cells.</t>
  </si>
  <si>
    <t>DISBURSEMENT DRAW REQUEST (First and/or Interim)</t>
  </si>
  <si>
    <t>RETAINAGE DRAW REQUEST</t>
  </si>
  <si>
    <t>HOME Program Division</t>
  </si>
  <si>
    <t>TEXAS DEPARTMENT OF HOUSING AND COMMUNITY AFFAIRS</t>
  </si>
  <si>
    <t>Street Address: 221 East 11th Street, Austin, TX 78701  Mailing Address: PO Box 13941, Austin, TX 78711</t>
  </si>
  <si>
    <t>Table of Contents</t>
  </si>
  <si>
    <t>Tab 2</t>
  </si>
  <si>
    <t>Final Budget Tab (Fillable Form)</t>
  </si>
  <si>
    <t>Tab 3</t>
  </si>
  <si>
    <t>Checklist - Draw Request Documents</t>
  </si>
  <si>
    <t>Tab 4</t>
  </si>
  <si>
    <t>Tab 5</t>
  </si>
  <si>
    <t>Tab 6</t>
  </si>
  <si>
    <t>Tab 7</t>
  </si>
  <si>
    <t>Tab 8</t>
  </si>
  <si>
    <t>Tab 9</t>
  </si>
  <si>
    <t>Click to return to the Table of Contents</t>
  </si>
  <si>
    <t>Draw Request And Match Log Tab (Fillable Form)</t>
  </si>
  <si>
    <t>Instructions for Draw Request and Match Log</t>
  </si>
  <si>
    <t>Instructions for Application and Certification for Payment</t>
  </si>
  <si>
    <t>Instructions for Final Budget</t>
  </si>
  <si>
    <t>Single Family Construction Activities 
Setup and Draw Workbook</t>
  </si>
  <si>
    <t xml:space="preserve">Soft cost documentation (itemized invoice, payroll, etc.) </t>
  </si>
  <si>
    <t>Soft cost documentation (itemized invoice, payroll, etc.)</t>
  </si>
  <si>
    <t>Enter the total cost incurred for which HOME funds are being requested.  Do not deduct the retainage from this amount.</t>
  </si>
  <si>
    <t xml:space="preserve">This is a self-populating column.  This column determines if retainage must be  withheld based on the cost category selected and deducts the retainage from the total.  </t>
  </si>
  <si>
    <t>Instructions for Budget Revision Request</t>
  </si>
  <si>
    <t>Budget Revision Request (Fillable Form)</t>
  </si>
  <si>
    <t>Copy of flood insurance binder if the property is located in a flood zone</t>
  </si>
  <si>
    <t xml:space="preserve">Use the drop-down menu to select "Yes" or "No." </t>
  </si>
  <si>
    <t>Total soft costs for construction component of project for items including, but not limited to: Application intake and processing, credit report, construction and disbursement documentation, environmental review, inspections, procurement, preconstruction conference, document preparation, work write-up/ cost estimate, plans, and specifications.</t>
  </si>
  <si>
    <t xml:space="preserve"> </t>
  </si>
  <si>
    <t>Enter the date the draw request is submitted for approval to TDHCA.</t>
  </si>
  <si>
    <t>This is a self-populating field which will return either the highest draw request number from the Draw Request tab, or "Retainage" if this is the retainage draw.</t>
  </si>
  <si>
    <t>Enter the date Budget Revision is being requested.</t>
  </si>
  <si>
    <t>This column will be completed by the Perfomance Specialist upon review and acceptance of the Budget Revision.  The Performance Specialist will then update the amounts in the Final Budget tab.</t>
  </si>
  <si>
    <t>Project Number:</t>
  </si>
  <si>
    <t>Project Number</t>
  </si>
  <si>
    <t>Instructions for Submitting a Project Draw Request</t>
  </si>
  <si>
    <t>Instructions for Submitting a Final Budget with Project Setup</t>
  </si>
  <si>
    <t>Record of Match Provided Section</t>
  </si>
  <si>
    <t>Total Construction Costs Row</t>
  </si>
  <si>
    <t>Eligibility Tests Section</t>
  </si>
  <si>
    <t>Go to the table of contents</t>
  </si>
  <si>
    <t>Factor Tested</t>
  </si>
  <si>
    <t>Pass/Fail</t>
  </si>
  <si>
    <t>Reason</t>
  </si>
  <si>
    <t xml:space="preserve">Base Construction Costs </t>
  </si>
  <si>
    <t>Limit Type</t>
  </si>
  <si>
    <t>Activity Type List</t>
  </si>
  <si>
    <t>Activity Type Limit Search</t>
  </si>
  <si>
    <t>Hard Cost Limit</t>
  </si>
  <si>
    <t>Square Footage Limit</t>
  </si>
  <si>
    <t>N/A</t>
  </si>
  <si>
    <t>Soft Cost Limit</t>
  </si>
  <si>
    <t>Total:</t>
  </si>
  <si>
    <t>Interim Financing Costs</t>
  </si>
  <si>
    <t>Tax Certificate</t>
  </si>
  <si>
    <t>Construction Project Soft Costs (non-LBP)</t>
  </si>
  <si>
    <t xml:space="preserve">Total Construction or MHU Replacement Costs </t>
  </si>
  <si>
    <t xml:space="preserve">OTHER PROJECT SOFT COSTS  </t>
  </si>
  <si>
    <t xml:space="preserve">Total Project Soft Costs  </t>
  </si>
  <si>
    <t>Number of Persons in Household</t>
  </si>
  <si>
    <r>
      <t xml:space="preserve">Column A
Project Budget
</t>
    </r>
    <r>
      <rPr>
        <b/>
        <sz val="8"/>
        <color indexed="8"/>
        <rFont val="Calibri"/>
        <family val="2"/>
      </rPr>
      <t>(include HOME &amp; Match)</t>
    </r>
  </si>
  <si>
    <t>Column C
HOME Costs Incurred to Date</t>
  </si>
  <si>
    <r>
      <t>Column D
Match/Leverage</t>
    </r>
    <r>
      <rPr>
        <b/>
        <sz val="9"/>
        <color indexed="8"/>
        <rFont val="Calibri"/>
        <family val="2"/>
      </rPr>
      <t xml:space="preserve"> </t>
    </r>
    <r>
      <rPr>
        <b/>
        <sz val="10"/>
        <color indexed="8"/>
        <rFont val="Calibri"/>
        <family val="2"/>
      </rPr>
      <t xml:space="preserve">
Budget</t>
    </r>
  </si>
  <si>
    <t>Column F 
Match/Leverage 
Source</t>
  </si>
  <si>
    <t>Column H
Remaining in Budget</t>
  </si>
  <si>
    <t xml:space="preserve">                              SINGLE FAMILY CONSTRUCTION ACTIVITIES SETUP AND DRAW WORKBOOK</t>
  </si>
  <si>
    <t>Cost:</t>
  </si>
  <si>
    <t>Additional Sitework Costs</t>
  </si>
  <si>
    <t>Contingency Costs</t>
  </si>
  <si>
    <t>Demolition and Disposal Costs</t>
  </si>
  <si>
    <t>Alternate Item #1:</t>
  </si>
  <si>
    <t>Alternate Item #3:</t>
  </si>
  <si>
    <t>Alternate Item #4:</t>
  </si>
  <si>
    <t>Alternate Item #2:</t>
  </si>
  <si>
    <t>Alternate Item #5:</t>
  </si>
  <si>
    <t>Alternate Item #6:</t>
  </si>
  <si>
    <t>Alternate Item #7:</t>
  </si>
  <si>
    <t>Alternate Item #8:</t>
  </si>
  <si>
    <t>Alternate Item #9:</t>
  </si>
  <si>
    <t>Alternate Item #10:</t>
  </si>
  <si>
    <t>Alternate Item Costs</t>
  </si>
  <si>
    <t>Base Construction Project Hard Costs</t>
  </si>
  <si>
    <t>Off-Site Costs (SFD only)</t>
  </si>
  <si>
    <t>SFD Developer Fee</t>
  </si>
  <si>
    <t>LBP Remediation</t>
  </si>
  <si>
    <t>Administrator:</t>
  </si>
  <si>
    <t>NO</t>
  </si>
  <si>
    <t>YES</t>
  </si>
  <si>
    <t>Date:</t>
  </si>
  <si>
    <t>Contract/Reservation Number:</t>
  </si>
  <si>
    <t>Draw Number:</t>
  </si>
  <si>
    <t>Available Balance</t>
  </si>
  <si>
    <t>HOME APPLICATION AND CERTIFICATION FOR PAYMENT</t>
  </si>
  <si>
    <t>ALTERNATE ITEMS SELECTED</t>
  </si>
  <si>
    <t>Match Due Prior to Release of Retainage</t>
  </si>
  <si>
    <t>CONSTRUCTION HARD COSTS</t>
  </si>
  <si>
    <t>Demolition and Disposal</t>
  </si>
  <si>
    <t>Link to Navigation Panel</t>
  </si>
  <si>
    <t>BUDGET REVISION #1</t>
  </si>
  <si>
    <r>
      <rPr>
        <b/>
        <sz val="9"/>
        <rFont val="Calibri"/>
        <family val="2"/>
      </rPr>
      <t>Column B</t>
    </r>
    <r>
      <rPr>
        <sz val="9"/>
        <rFont val="Calibri"/>
        <family val="2"/>
      </rPr>
      <t xml:space="preserve">
Final Budget 
Approved Amount</t>
    </r>
  </si>
  <si>
    <r>
      <rPr>
        <b/>
        <sz val="9"/>
        <rFont val="Calibri"/>
        <family val="2"/>
      </rPr>
      <t>Column C</t>
    </r>
    <r>
      <rPr>
        <sz val="9"/>
        <rFont val="Calibri"/>
        <family val="2"/>
      </rPr>
      <t xml:space="preserve">
Revised 
Amount</t>
    </r>
  </si>
  <si>
    <r>
      <rPr>
        <b/>
        <sz val="9"/>
        <rFont val="Calibri"/>
        <family val="2"/>
      </rPr>
      <t>Column D</t>
    </r>
    <r>
      <rPr>
        <sz val="9"/>
        <rFont val="Calibri"/>
        <family val="2"/>
      </rPr>
      <t xml:space="preserve">
% Change</t>
    </r>
  </si>
  <si>
    <r>
      <rPr>
        <b/>
        <sz val="9"/>
        <rFont val="Calibri"/>
        <family val="2"/>
      </rPr>
      <t>Column F</t>
    </r>
    <r>
      <rPr>
        <sz val="9"/>
        <rFont val="Calibri"/>
        <family val="2"/>
      </rPr>
      <t xml:space="preserve">
Description and Reason for Revision</t>
    </r>
  </si>
  <si>
    <r>
      <rPr>
        <b/>
        <sz val="9"/>
        <rFont val="Calibri"/>
        <family val="2"/>
      </rPr>
      <t>Column G</t>
    </r>
    <r>
      <rPr>
        <sz val="9"/>
        <rFont val="Calibri"/>
        <family val="2"/>
      </rPr>
      <t xml:space="preserve">
TDHCA 
Approval</t>
    </r>
  </si>
  <si>
    <t>TOTAL for Budget Revision #1:</t>
  </si>
  <si>
    <t>BUDGET REVISION #2</t>
  </si>
  <si>
    <t>TOTAL for Budget Revision #2:</t>
  </si>
  <si>
    <t>BUDGET REVISION #3</t>
  </si>
  <si>
    <t>TOTAL for Budget Revision #3:</t>
  </si>
  <si>
    <t>BUDGET REVISION #4</t>
  </si>
  <si>
    <t>TOTAL for Budget Revision #4:</t>
  </si>
  <si>
    <t>Certification Statement</t>
  </si>
  <si>
    <t>ACQUISITION/REFINANCE COSTS</t>
  </si>
  <si>
    <r>
      <t xml:space="preserve">Column B
HOME Budget
</t>
    </r>
    <r>
      <rPr>
        <b/>
        <sz val="8"/>
        <color indexed="8"/>
        <rFont val="Calibri"/>
        <family val="2"/>
      </rPr>
      <t>(excludes Match)</t>
    </r>
    <r>
      <rPr>
        <b/>
        <sz val="10"/>
        <color indexed="8"/>
        <rFont val="Calibri"/>
        <family val="2"/>
      </rPr>
      <t xml:space="preserve">
</t>
    </r>
  </si>
  <si>
    <t>Remaining in Budget Column</t>
  </si>
  <si>
    <t>Subtotal Acquistion/Refinance Costs Row</t>
  </si>
  <si>
    <t>Subtotal Third Party Costs Row</t>
  </si>
  <si>
    <t>Subtotal Project Soft Costs Row</t>
  </si>
  <si>
    <t>Total Project Budget</t>
  </si>
  <si>
    <t>TOTAL BUDGET</t>
  </si>
  <si>
    <t>Alternate Items Selected Section</t>
  </si>
  <si>
    <t>Alternate Item #11:</t>
  </si>
  <si>
    <t>Alternate Item #12:</t>
  </si>
  <si>
    <t>Alternate Item #13:</t>
  </si>
  <si>
    <t>Alternate Item #14:</t>
  </si>
  <si>
    <t>Alternate Item #15:</t>
  </si>
  <si>
    <t>2. Does this draw request include Retainage plus other costs? (if No, leave blank)</t>
  </si>
  <si>
    <t>Has retainage already been drawn?</t>
  </si>
  <si>
    <t>Match</t>
  </si>
  <si>
    <t>Leverage</t>
  </si>
  <si>
    <t xml:space="preserve">Column E
Match Leverage </t>
  </si>
  <si>
    <t>Beginning of Budget Revision 1</t>
  </si>
  <si>
    <t>Budget Revision Totals</t>
  </si>
  <si>
    <t>Beginning of Budget Revision 2</t>
  </si>
  <si>
    <t>Budget Revision 2 Totals</t>
  </si>
  <si>
    <t>Beginning of Budget Revision 3</t>
  </si>
  <si>
    <t>Budget Revision 3 Totals</t>
  </si>
  <si>
    <t>Beginning of Budget Revision 4</t>
  </si>
  <si>
    <t>Budget Revision 4 Totals</t>
  </si>
  <si>
    <t>Budget Revision Navigation Links</t>
  </si>
  <si>
    <r>
      <rPr>
        <b/>
        <sz val="9"/>
        <rFont val="Calibri"/>
        <family val="2"/>
      </rPr>
      <t>Column E</t>
    </r>
    <r>
      <rPr>
        <sz val="9"/>
        <rFont val="Calibri"/>
        <family val="2"/>
      </rPr>
      <t xml:space="preserve">
Date of Revision Request</t>
    </r>
  </si>
  <si>
    <r>
      <rPr>
        <b/>
        <sz val="9"/>
        <rFont val="Calibri"/>
        <family val="2"/>
      </rPr>
      <t xml:space="preserve">Column E
</t>
    </r>
    <r>
      <rPr>
        <sz val="9"/>
        <rFont val="Calibri"/>
        <family val="2"/>
      </rPr>
      <t>Date of Revision Request</t>
    </r>
  </si>
  <si>
    <r>
      <t xml:space="preserve">Column E
</t>
    </r>
    <r>
      <rPr>
        <sz val="9"/>
        <rFont val="Calibri"/>
        <family val="2"/>
      </rPr>
      <t>Date of Revision Request</t>
    </r>
  </si>
  <si>
    <t>Complete the Budget Revision tab to request changes to costs associated with any line-item reflected in the Final Budget.  
Upon approval of the Budget Revision, Performance Specialist will update the Final Budget tab in the Workbook.
All Budget Revision requests are subject to the approval by TDHCA.</t>
  </si>
  <si>
    <t>Administrator Name</t>
  </si>
  <si>
    <t>Color photographs (interior and exterior) of the completed construction work for the time period for which reimbursement is being requested</t>
  </si>
  <si>
    <t>Enter the Contractor and Subcontractor Activity Report (HUB Report) data into HCS</t>
  </si>
  <si>
    <t>Enter the Project Completion Report data into HCS</t>
  </si>
  <si>
    <t xml:space="preserve">Building Contractor's itemized invoice for hard costs and support documentation verifying payment </t>
  </si>
  <si>
    <t xml:space="preserve">Building Contractor's itemized invoices for hard costs and support documentation verifying payment </t>
  </si>
  <si>
    <t>Color photographs (interior and exterior) of the completed construction work, including photographs of every budgeted Alternate Item provided</t>
  </si>
  <si>
    <t xml:space="preserve">Final Inspection signed/dated by the inspector </t>
  </si>
  <si>
    <t>Enter the Draw Request into Housing Contract System (HCS)</t>
  </si>
  <si>
    <r>
      <t xml:space="preserve">The Final Budget tab:
</t>
    </r>
    <r>
      <rPr>
        <b/>
        <sz val="9"/>
        <rFont val="Calibri"/>
        <family val="2"/>
      </rPr>
      <t xml:space="preserve">• </t>
    </r>
    <r>
      <rPr>
        <sz val="9"/>
        <rFont val="Calibri"/>
        <family val="2"/>
      </rPr>
      <t>D</t>
    </r>
    <r>
      <rPr>
        <sz val="9"/>
        <rFont val="Calibri"/>
        <family val="2"/>
      </rPr>
      <t>etermines whether the requested budget is allowable based on Project type and applicable Rule year;
• Tracks the funds requested in the Draw Request tab and determines if amounts requested exceed the available budget;
• Must be submitted at Project setup and uploaded to the Housing Contract System (HCS) as a separate attachment;
• Must be approved by Performance Specialist.  Cells will be locked/protected to prevent unauthorized changes to submitted data.</t>
    </r>
  </si>
  <si>
    <t>Use the drop-down menu to select the Rule year that the Contract/Reservation System Participation (RSP) Agreement is subject to.</t>
  </si>
  <si>
    <t>Enter the total number of persons in the assisted household.</t>
  </si>
  <si>
    <t>Use the drop-down box to select "Yes" or "No," indicating whether the project requires additional sitework for accessibility features or floodplain elevation.  Selecting "Yes" allows for an additional amount of money, not to exceed $5,000, to be added to the budget for this cost category.</t>
  </si>
  <si>
    <t xml:space="preserve">Entries for line-items in Column A should include all TDHCA HOME and Match funds being contributed to the Project.  Do not include other funds which are NOT HOME funds or Match. </t>
  </si>
  <si>
    <t>Column A:
Project Budget (including HOME and Match)</t>
  </si>
  <si>
    <t>Entries for line-items in Column B should include all TDHCA HOME funds contributed to the project (net of Match).</t>
  </si>
  <si>
    <t xml:space="preserve">Entries for line-items in Column D should include all sources of Match or Leverage being contributed to the Project.  </t>
  </si>
  <si>
    <t>Column E:
Match/Leverage Selection</t>
  </si>
  <si>
    <t>For each entry in Column D, enter the source of the Match or Leveraged funds.</t>
  </si>
  <si>
    <t>Budget Line-Item Rows - Construction Hard Costs Section
This section applies to all Projects with a construction component.  All construction hard costs must be reflected in this section.</t>
  </si>
  <si>
    <t xml:space="preserve">Enter the 7-digit Contract Number or the Reservation Award Number from Housing Contract System (HCS).  </t>
  </si>
  <si>
    <t>Costs to demolish the existing structure and dispose of debris in preparation for construction of a new housing unit</t>
  </si>
  <si>
    <t>For SFD only:  Costs allowed under 24 CFR 92.206 to make utility connections from the property line to the adjacent street</t>
  </si>
  <si>
    <t xml:space="preserve">Only applicable to Projects requiring additional sitework to accommodate needed accessibility features or for floodplain elevation, not to exceed $5,000 </t>
  </si>
  <si>
    <t>Column B:
HOME Budget (excludes Match)</t>
  </si>
  <si>
    <t xml:space="preserve">For SFD only:  Total amount paid to Building Contractor for fees and general requirements   </t>
  </si>
  <si>
    <t>Total cost of any interim financing paid by the CA/RSP for the Project</t>
  </si>
  <si>
    <t>Contingency is limited to 5% of construction hard costs (excluding additional site work for accessibility/floodplain)</t>
  </si>
  <si>
    <t>Total cost of fees paid to a title company for title reports, title policies, or endorsements to a title policy</t>
  </si>
  <si>
    <t>Total cost of fees paid to the taxing authority for tax certificates</t>
  </si>
  <si>
    <t>Total cost of fees paid to the county clerk for recording of loan or grant documents</t>
  </si>
  <si>
    <t>Total cost of survey(s) required by the title company or TDHCA</t>
  </si>
  <si>
    <t>Total cost of other third-party closing costs not included in other line-items</t>
  </si>
  <si>
    <t>Corresponds to purchase/refinance cost of the housing unit</t>
  </si>
  <si>
    <t>SFD only:  Developer fee not to exceed 15% of construction hard costs</t>
  </si>
  <si>
    <t>Column A:  Date Match Provided</t>
  </si>
  <si>
    <t>Column C:  Validation Type</t>
  </si>
  <si>
    <t>Column B:  Cost Category</t>
  </si>
  <si>
    <t>Column D:  Payee</t>
  </si>
  <si>
    <t>Column F:  Invoice Date</t>
  </si>
  <si>
    <t>Column G:  Budget Remaining</t>
  </si>
  <si>
    <t>Column H:  Match Amount Provided</t>
  </si>
  <si>
    <t>Column A:  Draw Request Number</t>
  </si>
  <si>
    <t>Column B:  Draw Request Date</t>
  </si>
  <si>
    <t>Column C:  Cost Category</t>
  </si>
  <si>
    <t>Column D:  Validation Type</t>
  </si>
  <si>
    <t>Column E:  Payee</t>
  </si>
  <si>
    <t>Column F:  Invoice #</t>
  </si>
  <si>
    <t>Column G:  Invoice Date</t>
  </si>
  <si>
    <t>Column H:  HOME Budget Remaining</t>
  </si>
  <si>
    <t>Column I:  Cost Incurred (Including Retainage)</t>
  </si>
  <si>
    <t>Column J:  Request Less Applicable Retainage</t>
  </si>
  <si>
    <t>Column K:  Required Retainage</t>
  </si>
  <si>
    <t>Column E:  Invoice Number</t>
  </si>
  <si>
    <t>Enter the invoice number</t>
  </si>
  <si>
    <t>Enter the date Match was provided to the Project</t>
  </si>
  <si>
    <t>Use the drop-down menu to select the cost category for which Match was provided</t>
  </si>
  <si>
    <t>Use the drop-down menu to select the applicable support documentation type (Builder Invoice, HUD-1, Related Party Invoice)</t>
  </si>
  <si>
    <t>Enter the name of the payee as it appears on the invoice</t>
  </si>
  <si>
    <t>Enter the date of the invoice.  The date should be within the Project term.  If the invoice date is not within the Project term, the invoice should identify service dates that are within the Project term.</t>
  </si>
  <si>
    <t>This is a self-populating column.  This column pulls the Match budget remaining in the Final Budget for the line-item selected.</t>
  </si>
  <si>
    <t>Enter the amount of Match provided.  This amount must correspond to the support documentation submitted, and  may not exceed the Match budgeted for the line-item in the Final Budget tab unless an activity revision is submitted.</t>
  </si>
  <si>
    <t>Enter the draw request date</t>
  </si>
  <si>
    <t>Use the drop-down menu to select the cost category for which funds are requested</t>
  </si>
  <si>
    <t>Use the drop-down menu to select the support documentation type (HUD-1, Builder Invoice, Related Party Invoice)</t>
  </si>
  <si>
    <r>
      <rPr>
        <sz val="9"/>
        <rFont val="Calibri"/>
        <family val="2"/>
      </rPr>
      <t>• Always use the most recent approved Workbook for each new draw request - do not submit a new Workbook.
• For the initial draw request, access the previously approved Setup Workbook which is attached to the Project screen in the Housing Contract System (HCS) and add the draw data into the Draw Request tab.
• For each subsequent draw request, access the previously approved Draw Workbook which is attached to the draw screen in HCS.  For instance, if you are submitting the second draw for a Project, access the approved Draw Workbook attached to the draw screen for the first draw and add the new data for the second draw to it.</t>
    </r>
    <r>
      <rPr>
        <sz val="9"/>
        <rFont val="Calibri"/>
        <family val="2"/>
      </rPr>
      <t xml:space="preserve">
</t>
    </r>
    <r>
      <rPr>
        <sz val="9"/>
        <rFont val="Calibri"/>
        <family val="2"/>
      </rPr>
      <t xml:space="preserve">• Draw Request tab tracks all funds drawn on the Project to date.
• Submit the Draw Workbook with each Project draw by uploading it to HCS as a separate attachment to the applicable draw screen.
• Upon approval of the draw request, the line-items on the Draw Request tab will be locked/protected by the Performance Specialist.  
</t>
    </r>
  </si>
  <si>
    <t>Administrator</t>
  </si>
  <si>
    <t>Enter the full legal name of the Administrator.  This is the name of the entity or organization awarded HOME funds (e.g. City of Somewhere).</t>
  </si>
  <si>
    <t>Enter the 5-digit Project number as it appears in Housing Contract System (HCS).</t>
  </si>
  <si>
    <t>Has Retainage already been drawn?</t>
  </si>
  <si>
    <t>Use the drop-down menu to select "Yes" if retainage was previously drawn, or "No" if retainage has not yet been drawn.</t>
  </si>
  <si>
    <t xml:space="preserve">Use the drop-down menu to select "Yes" if the draw request includes retainage.  If the draw request does not include retainage, leave this cell blank. </t>
  </si>
  <si>
    <t>1.  Is this draw request for Retainage only?  (if No, leave blank)</t>
  </si>
  <si>
    <t>Use the drop-down menu to select "Yes" if the draw request includes retainage AND reimbursement for other costs.  If the draw request does not include retainage AND other costs, leave this cell blank.</t>
  </si>
  <si>
    <t>The remainder of the HOME Application and Certification form self-populates the total amount of funds being requested.
Prior to submitting the draw request, carefully examine this form, including the Certification section, to ensure accuracy.</t>
  </si>
  <si>
    <t>Instructions for Completing the Budget Revision Tab</t>
  </si>
  <si>
    <r>
      <rPr>
        <b/>
        <sz val="9"/>
        <rFont val="Calibri"/>
        <family val="2"/>
      </rPr>
      <t>The Budget Revision tab:</t>
    </r>
    <r>
      <rPr>
        <sz val="9"/>
        <rFont val="Calibri"/>
        <family val="2"/>
      </rPr>
      <t xml:space="preserve">
• Must be completed with the Project draw if a change to the Final Budget tab is requested;
• Required when funding is moved from one cost category line-item (e.g. Demolition and Disposal) because the funding will be used for a different cost category (e.g. Base Construction Project Hard Costs);
• Required when Contingency line-item funds are being requested.  The Draw Request tab will not permit drawing funds from the Contingency line-item.  Contingency funds must be re-allocated to a line-item that reflects an eligible HOME expenditure;
• Performance Specialist will approve the Budget Revisions and adjust the Final Budget tab.  Changes will be locked/protected.  Any additional changes will require an additional Budget Revision.
•  Do not use the Budget Revision tab if the requested changes increase the total amount of HOME funds for the Project.  Contact your Performance Specialist for instructions.  
</t>
    </r>
  </si>
  <si>
    <t>Column B:  Approved Cost Estimate</t>
  </si>
  <si>
    <t>Column C:  Revised Cost Estimate</t>
  </si>
  <si>
    <t>Column D:  % Change</t>
  </si>
  <si>
    <t>Column E:  Date</t>
  </si>
  <si>
    <t>Column G:  TDHCA Acceptance</t>
  </si>
  <si>
    <r>
      <rPr>
        <b/>
        <sz val="9"/>
        <rFont val="Calibri"/>
        <family val="2"/>
      </rPr>
      <t>Column A</t>
    </r>
    <r>
      <rPr>
        <sz val="9"/>
        <rFont val="Calibri"/>
        <family val="2"/>
      </rPr>
      <t xml:space="preserve">
Budget Line-Item</t>
    </r>
  </si>
  <si>
    <t>Column A:  Budget Line-Item</t>
  </si>
  <si>
    <t xml:space="preserve">Enter the amount of the approved budget for the line-item per the Final Budget tab.   </t>
  </si>
  <si>
    <r>
      <t xml:space="preserve">Enter the new amount requested for the line-item cost category.  For example:
</t>
    </r>
    <r>
      <rPr>
        <sz val="10"/>
        <rFont val="Calibri"/>
        <family val="2"/>
      </rPr>
      <t xml:space="preserve">•  </t>
    </r>
    <r>
      <rPr>
        <sz val="10"/>
        <rFont val="Calibri"/>
        <family val="2"/>
      </rPr>
      <t xml:space="preserve">Contingency was selected in Column A; and
</t>
    </r>
    <r>
      <rPr>
        <sz val="10"/>
        <rFont val="Calibri"/>
        <family val="2"/>
      </rPr>
      <t xml:space="preserve">•  </t>
    </r>
    <r>
      <rPr>
        <sz val="10"/>
        <rFont val="Calibri"/>
        <family val="2"/>
      </rPr>
      <t xml:space="preserve">The approved Contingency budget is $1,000, entered in Column B; and
</t>
    </r>
    <r>
      <rPr>
        <sz val="10"/>
        <rFont val="Calibri"/>
        <family val="2"/>
      </rPr>
      <t xml:space="preserve">•  </t>
    </r>
    <r>
      <rPr>
        <sz val="10"/>
        <rFont val="Calibri"/>
        <family val="2"/>
      </rPr>
      <t>The requested revision is to reduce the Continency line-item by $250; then
•  E</t>
    </r>
    <r>
      <rPr>
        <sz val="10"/>
        <rFont val="Calibri"/>
        <family val="2"/>
      </rPr>
      <t>nter $750 in Column C.</t>
    </r>
  </si>
  <si>
    <t xml:space="preserve">Column D self-populates.  The column divides the revised cost amount in Column C by the previously approved cost amount in Column B to determine the percentage change in the revision requested. </t>
  </si>
  <si>
    <t>Enter a narrative description of the change requested, including a reason for the requested change.</t>
  </si>
  <si>
    <t xml:space="preserve">Column F:  Description and Reason </t>
  </si>
  <si>
    <t>Tab 1</t>
  </si>
  <si>
    <t xml:space="preserve"> 1. Is this the final draw with release of Retainage? </t>
  </si>
  <si>
    <t xml:space="preserve"> 2. Does this draw request include Retainage plus other costs? </t>
  </si>
  <si>
    <r>
      <t xml:space="preserve">Column A
</t>
    </r>
    <r>
      <rPr>
        <sz val="10"/>
        <color indexed="8"/>
        <rFont val="Calibri"/>
        <family val="2"/>
      </rPr>
      <t>Date Match 
Provided</t>
    </r>
  </si>
  <si>
    <r>
      <t xml:space="preserve">Column B
</t>
    </r>
    <r>
      <rPr>
        <sz val="10"/>
        <color indexed="8"/>
        <rFont val="Calibri"/>
        <family val="2"/>
      </rPr>
      <t>Cost Category</t>
    </r>
  </si>
  <si>
    <r>
      <t xml:space="preserve">Column C
</t>
    </r>
    <r>
      <rPr>
        <sz val="10"/>
        <color indexed="8"/>
        <rFont val="Calibri"/>
        <family val="2"/>
      </rPr>
      <t>Validation  Type</t>
    </r>
  </si>
  <si>
    <r>
      <t xml:space="preserve">Column D
</t>
    </r>
    <r>
      <rPr>
        <sz val="10"/>
        <color indexed="8"/>
        <rFont val="Calibri"/>
        <family val="2"/>
      </rPr>
      <t>Payee</t>
    </r>
  </si>
  <si>
    <r>
      <t xml:space="preserve">Column E
</t>
    </r>
    <r>
      <rPr>
        <sz val="10"/>
        <color indexed="8"/>
        <rFont val="Calibri"/>
        <family val="2"/>
      </rPr>
      <t>Invoice Number</t>
    </r>
  </si>
  <si>
    <r>
      <t xml:space="preserve">Column F
</t>
    </r>
    <r>
      <rPr>
        <sz val="10"/>
        <color indexed="8"/>
        <rFont val="Calibri"/>
        <family val="2"/>
      </rPr>
      <t>Invoice 
Date</t>
    </r>
  </si>
  <si>
    <r>
      <t xml:space="preserve">Column G
</t>
    </r>
    <r>
      <rPr>
        <sz val="10"/>
        <color indexed="8"/>
        <rFont val="Calibri"/>
        <family val="2"/>
      </rPr>
      <t>Budget 
Remaining</t>
    </r>
  </si>
  <si>
    <r>
      <t xml:space="preserve">Column A
</t>
    </r>
    <r>
      <rPr>
        <sz val="10"/>
        <color indexed="8"/>
        <rFont val="Calibri"/>
        <family val="2"/>
      </rPr>
      <t>Draw 
Request Number</t>
    </r>
  </si>
  <si>
    <r>
      <t xml:space="preserve">Column B
</t>
    </r>
    <r>
      <rPr>
        <sz val="10"/>
        <color indexed="8"/>
        <rFont val="Calibri"/>
        <family val="2"/>
      </rPr>
      <t>Draw 
Request 
Date</t>
    </r>
  </si>
  <si>
    <r>
      <t xml:space="preserve">Column C
</t>
    </r>
    <r>
      <rPr>
        <sz val="10"/>
        <color indexed="8"/>
        <rFont val="Calibri"/>
        <family val="2"/>
      </rPr>
      <t>Cost Category</t>
    </r>
  </si>
  <si>
    <r>
      <t xml:space="preserve">Column D 
</t>
    </r>
    <r>
      <rPr>
        <sz val="10"/>
        <color indexed="8"/>
        <rFont val="Calibri"/>
        <family val="2"/>
      </rPr>
      <t>Validation Type</t>
    </r>
  </si>
  <si>
    <r>
      <t xml:space="preserve">Column E
</t>
    </r>
    <r>
      <rPr>
        <sz val="10"/>
        <color indexed="8"/>
        <rFont val="Calibri"/>
        <family val="2"/>
      </rPr>
      <t>Payee</t>
    </r>
  </si>
  <si>
    <r>
      <t xml:space="preserve">Column F 
</t>
    </r>
    <r>
      <rPr>
        <sz val="10"/>
        <color indexed="8"/>
        <rFont val="Calibri"/>
        <family val="2"/>
      </rPr>
      <t>Invoice  Number</t>
    </r>
  </si>
  <si>
    <r>
      <t xml:space="preserve">Column G
</t>
    </r>
    <r>
      <rPr>
        <sz val="10"/>
        <color indexed="8"/>
        <rFont val="Calibri"/>
        <family val="2"/>
      </rPr>
      <t>Invoice 
Date</t>
    </r>
  </si>
  <si>
    <r>
      <t xml:space="preserve">Column H
</t>
    </r>
    <r>
      <rPr>
        <sz val="10"/>
        <color indexed="8"/>
        <rFont val="Calibri"/>
        <family val="2"/>
      </rPr>
      <t>HOME
Budget 
Remaining</t>
    </r>
  </si>
  <si>
    <r>
      <t xml:space="preserve">Column I
</t>
    </r>
    <r>
      <rPr>
        <sz val="10"/>
        <color indexed="8"/>
        <rFont val="Calibri"/>
        <family val="2"/>
      </rPr>
      <t>Cost Incurred
(including Retainage)</t>
    </r>
  </si>
  <si>
    <r>
      <t xml:space="preserve">Column J
</t>
    </r>
    <r>
      <rPr>
        <sz val="10"/>
        <color indexed="8"/>
        <rFont val="Calibri"/>
        <family val="2"/>
      </rPr>
      <t>Request Less 
Applicable 
Retainage</t>
    </r>
  </si>
  <si>
    <r>
      <t xml:space="preserve">Column K
</t>
    </r>
    <r>
      <rPr>
        <sz val="10"/>
        <color indexed="8"/>
        <rFont val="Calibri"/>
        <family val="2"/>
      </rPr>
      <t>Required 
Retainage Withheld</t>
    </r>
  </si>
  <si>
    <t>HOME BUDGET REVISION REQUEST FORM</t>
  </si>
  <si>
    <t>Other Vendor Invoice</t>
  </si>
  <si>
    <r>
      <t xml:space="preserve">Final Budget </t>
    </r>
    <r>
      <rPr>
        <b/>
        <sz val="9.5"/>
        <rFont val="Calibri"/>
        <family val="2"/>
      </rPr>
      <t>(tab in this Workbook)</t>
    </r>
  </si>
  <si>
    <r>
      <t xml:space="preserve">Draw Request </t>
    </r>
    <r>
      <rPr>
        <b/>
        <sz val="9.5"/>
        <rFont val="Calibri"/>
        <family val="2"/>
      </rPr>
      <t>(tab in this Workbook)</t>
    </r>
  </si>
  <si>
    <r>
      <t xml:space="preserve">Match contributed and support documentation </t>
    </r>
    <r>
      <rPr>
        <b/>
        <sz val="9.5"/>
        <rFont val="Calibri"/>
        <family val="2"/>
      </rPr>
      <t>(Draw Request tab in this Workbook)</t>
    </r>
    <r>
      <rPr>
        <sz val="9.5"/>
        <rFont val="Calibri"/>
        <family val="2"/>
      </rPr>
      <t xml:space="preserve"> </t>
    </r>
  </si>
  <si>
    <r>
      <t xml:space="preserve">HOME Application and Certification for Payment </t>
    </r>
    <r>
      <rPr>
        <b/>
        <sz val="9.5"/>
        <rFont val="Calibri"/>
        <family val="2"/>
      </rPr>
      <t>(tab in this Workbook)</t>
    </r>
  </si>
  <si>
    <r>
      <t xml:space="preserve">Match contributed and support documentation </t>
    </r>
    <r>
      <rPr>
        <b/>
        <sz val="9.5"/>
        <rFont val="Calibri"/>
        <family val="2"/>
      </rPr>
      <t xml:space="preserve">(Draw Request tab in this Workbook) </t>
    </r>
  </si>
  <si>
    <r>
      <t xml:space="preserve">Bills Paid Affidavit Form 51-12 </t>
    </r>
    <r>
      <rPr>
        <b/>
        <sz val="9.5"/>
        <rFont val="Calibri"/>
        <family val="2"/>
      </rPr>
      <t xml:space="preserve">(must be notarized) </t>
    </r>
  </si>
  <si>
    <r>
      <t xml:space="preserve">Recorded Affidavit of Completion </t>
    </r>
    <r>
      <rPr>
        <b/>
        <sz val="9.5"/>
        <rFont val="Calibri"/>
        <family val="2"/>
      </rPr>
      <t>(retain original recorded Affidavit of Completion in Administrator file)</t>
    </r>
  </si>
  <si>
    <t>Draw Request Checklist</t>
  </si>
  <si>
    <t>Instructions for Completing the Application and Certification for Payment Tab</t>
  </si>
  <si>
    <t xml:space="preserve">•  Complete the yellow highlighted cells of the Application and Certification for Payment tab with each Project draw request.                                                                           
• By submitting this Workbook the Administrator certifies and agrees to all provisions of the HOME Application and Certification of Payment. </t>
  </si>
  <si>
    <t>Date of Approval:</t>
  </si>
  <si>
    <t>Total cost of alternate items included in the accepted Building Contractor's bid will populate when information is correctly entered in the Alternates line items section of the budget</t>
  </si>
  <si>
    <t>Cost per Square Foot excluding Additional Sitework</t>
  </si>
  <si>
    <t>Notes</t>
  </si>
  <si>
    <t>Approval Initials</t>
  </si>
  <si>
    <t>Approval Date</t>
  </si>
  <si>
    <t>Duplication Check</t>
  </si>
  <si>
    <t>TDHCA Performance Specialist Approval:</t>
  </si>
  <si>
    <t xml:space="preserve">For LOANS:   Provide interim down-date endorsement to title policy thru date of previous hard cost draw request (not older than the date of the last disbursement of funds or forty-five (45) days, whichever is later);
For GRANTS:   Provide either a down-date endorsement or the appropriate Partial Release Form 51-8 or 51-9, as applicable. </t>
  </si>
  <si>
    <t>Total Non-Construction SFD Hard Costs</t>
  </si>
  <si>
    <t>SINGLE FAMILY DEVELOPMENT ADDITIONAL HARD COSTS</t>
  </si>
  <si>
    <t>Developer Fee</t>
  </si>
  <si>
    <t>Developer Closing Cost- Homebuyer Loan</t>
  </si>
  <si>
    <t>Homebuyer Closing Cost - Homebuyer Loan</t>
  </si>
  <si>
    <t>Required Match Percentage:</t>
  </si>
  <si>
    <t>Required Match Amount:</t>
  </si>
  <si>
    <t>TOTAL LEVERAGE BUDGETED</t>
  </si>
  <si>
    <t>TOTAL LEVERAGE PROVIDED</t>
  </si>
  <si>
    <t>Match Provided Calcs</t>
  </si>
  <si>
    <t>Acq/Refi Costs</t>
  </si>
  <si>
    <t>Const Hard Costs</t>
  </si>
  <si>
    <t>Third Party Costs</t>
  </si>
  <si>
    <t>Other Project Soft Costs</t>
  </si>
  <si>
    <t>Total</t>
  </si>
  <si>
    <t>Leverage Provided Calcs</t>
  </si>
  <si>
    <t>Match Budgeted Calcs</t>
  </si>
  <si>
    <t>Leverage Budgeted Calcs</t>
  </si>
  <si>
    <t>Column G
Match/Leverage Provided to Date</t>
  </si>
  <si>
    <r>
      <t xml:space="preserve">Column H
</t>
    </r>
    <r>
      <rPr>
        <sz val="10"/>
        <color indexed="8"/>
        <rFont val="Calibri"/>
        <family val="2"/>
      </rPr>
      <t>Match/Leverage
Amount
Provided</t>
    </r>
  </si>
  <si>
    <t>Total % of Required Reported Match:</t>
  </si>
  <si>
    <t>Total % of Match Reported:</t>
  </si>
  <si>
    <t>% Provided</t>
  </si>
  <si>
    <t>Closing Disclosure</t>
  </si>
  <si>
    <t>Other Doc Type</t>
  </si>
  <si>
    <t>If the governmental jurisdiction in which the property is located issues a Certificate of Occupancy(CO), submit a copy of the CO.  Otherwise, submit a written certification from the governmental jurisdiction verifying the unit is habitable and is in compliance with all local, county, state, and federal construction regulations.</t>
  </si>
  <si>
    <t>LOANS: Provide final down-date endorsement to the title policy dated no earlier than 40 days after the date of construction completion referenced in the recorded Affidavit of Completion;
GRANTS:   Provide either a down-date endorsement or the appropriate Final Release Form 51-10 or 51-11, as applicable.</t>
  </si>
  <si>
    <t>Documentation of compliance with energy efficiency requirments.  Requirements can be found at http://www.tdhca.state.tx.us/single-family/TDHCA-Energy-Efficiency-Rules.htm.</t>
  </si>
  <si>
    <t>Total HOME Project Costs</t>
  </si>
  <si>
    <t>Total Amount of HOME Project Costs Requested to Date:</t>
  </si>
  <si>
    <t>Total Percentage of HOME Project Costs Requested to Date:</t>
  </si>
  <si>
    <t>Number of Bedrooms</t>
  </si>
  <si>
    <t>Environmental Mitigation Costs</t>
  </si>
  <si>
    <t>Accessibility Features Cost</t>
  </si>
  <si>
    <t>Total Additional Costs</t>
  </si>
  <si>
    <t>Off-Site Costs</t>
  </si>
  <si>
    <t>Building Contractor Fee</t>
  </si>
  <si>
    <t>Activity Type</t>
  </si>
  <si>
    <t>Reconstruction</t>
  </si>
  <si>
    <t>New Construction</t>
  </si>
  <si>
    <t>MHU Replacement</t>
  </si>
  <si>
    <t>2017MHU Replacement</t>
  </si>
  <si>
    <t>2017New Construction</t>
  </si>
  <si>
    <t>2017Reconstruction</t>
  </si>
  <si>
    <t>SQ FT</t>
  </si>
  <si>
    <t>Soft Cost</t>
  </si>
  <si>
    <t>Insurance/Other Closing Requirements</t>
  </si>
  <si>
    <t>3. Sub-total Constuction Costs or MHU Replacement Costs are within limits:</t>
  </si>
  <si>
    <r>
      <t xml:space="preserve">Before you submit your draw request, ensure the following:
</t>
    </r>
    <r>
      <rPr>
        <b/>
        <sz val="9"/>
        <rFont val="Calibri"/>
        <family val="2"/>
      </rPr>
      <t>•</t>
    </r>
    <r>
      <rPr>
        <sz val="9"/>
        <rFont val="Calibri"/>
        <family val="2"/>
      </rPr>
      <t xml:space="preserve"> Loan/Grant closing has been completed; 
• All required documents have been properly executed and recorded, as applicable;
• All required Loan/Grant documents have been provided to TDHCA's Loan Closing Specialist;
• Single Audit requirements have been met and all required Single Audit documents have been submitted to TDHCA.
</t>
    </r>
  </si>
  <si>
    <t>2020MHU Replacement</t>
  </si>
  <si>
    <t>2020New Construction</t>
  </si>
  <si>
    <t>2020Reconstruction</t>
  </si>
  <si>
    <t>Hard Cost Limit 5+ HH</t>
  </si>
  <si>
    <t>Use the drop-down menu to select the activity type.  Contact for Deed Projects will be "Reconstruction/New Construction with Refinance."</t>
  </si>
  <si>
    <t>Enter the number of square feet of the unit to be constructed.</t>
  </si>
  <si>
    <t>Total cost of construction of the unit, exclusive of other line-item hard costs</t>
  </si>
  <si>
    <t>Total cost of appraisal(s) for reconstructed unit or new MHU</t>
  </si>
  <si>
    <t>For HANC and CFD only:  Total soft costs for acquistion component of Project for items including, but not limited to: Application intake and processing, credit report, environmental review, inspections, procurement, and document preparation.</t>
  </si>
  <si>
    <t>4 Bedroom Limit</t>
  </si>
  <si>
    <t>Subtotal Construction or MHU Costs</t>
  </si>
  <si>
    <t>4. Additional Hard Costs within limits:</t>
  </si>
  <si>
    <t>5. Construction Project Soft Costs are within limits:</t>
  </si>
  <si>
    <t>6. Acquisition Project Soft Costs are within limits:</t>
  </si>
  <si>
    <t>Limit for Project:</t>
  </si>
  <si>
    <t>2. Allowable Cost per Square Foot within limit:</t>
  </si>
  <si>
    <t>1. Acquisition Costs are limit:</t>
  </si>
  <si>
    <t>Aerobic Septic System Costs</t>
  </si>
  <si>
    <t>Accessibility Features Costs</t>
  </si>
  <si>
    <t>For each entry in Column D, use the drop-down menu in Column E to select "Match" or "Leverage."</t>
  </si>
  <si>
    <t>Use the drop-down menu to select the sequential draw request number.  If this is the retainage draw and funds are being requested for items other than retainage, select Retainage.</t>
  </si>
  <si>
    <t>Completion Instructions</t>
  </si>
  <si>
    <r>
      <t xml:space="preserve">Use the drop-down menu to select the line-item which will be increased or decreased by this revision. For example, if the revision requires subtracting $500 from the Contingency line-item and adding $500 to the Base Construction Project Hard Costs line-item, select "Contingency" on Row 1 </t>
    </r>
    <r>
      <rPr>
        <sz val="10"/>
        <rFont val="Calibri"/>
        <family val="2"/>
      </rPr>
      <t>and "Base Construction Project Hard Costs" on Row 2.  If the revision is increasing the total budgeted HOME funds, contact your Performance Specialist for instructions.</t>
    </r>
  </si>
  <si>
    <t>Home Owner Counseling</t>
  </si>
  <si>
    <t xml:space="preserve">Home Owner Counseling </t>
  </si>
  <si>
    <t>Total cost of Home Owner Counseling Sessions.</t>
  </si>
  <si>
    <t>7. Required Match Budgeted:</t>
  </si>
  <si>
    <t>Enter the number of bedrooms in the proposed unit.</t>
  </si>
  <si>
    <t xml:space="preserve">Column C is a self-populating column that sums all of the entries for the specified line-item from the Draw Request log (in the Draw Request tab).  </t>
  </si>
  <si>
    <t>Column G is a self-populating column that sums all of the entries for the specified line-item from the record of Match provided (in the Draw Request tab).</t>
  </si>
  <si>
    <t xml:space="preserve">Column H is a self-populating column that deducts the amounts of all of the entries for the specified line-item from the Draw Request log and the record of Match provided (in the Draw Request tab).  </t>
  </si>
  <si>
    <t xml:space="preserve">Budget Line-Item Rows - Acquisition/Refinance Costs Section
This section applies to Projects that involve acquisition or refinance of property, including Contract for Deed (CFD), Single Family Development (SFD), and Homebuyer Assistance with New Constuction (HANC).  This section is NOT applicable for HRA. </t>
  </si>
  <si>
    <t>Corresponds to closing costs associated with the acquisition/refinance of the housing unit</t>
  </si>
  <si>
    <t>Acquisition Project Soft Costs (HANC and CFD only)</t>
  </si>
  <si>
    <t>Application and Certification for Payment (Fillable Form)</t>
  </si>
  <si>
    <t>Note: This list populates column C</t>
  </si>
  <si>
    <t>Note: These are the percentages for Column J</t>
  </si>
  <si>
    <t>Note: This list populates column A</t>
  </si>
  <si>
    <t>Main Number: 512-475-3800  Toll Free: 1-800-525-0657  Email: info@tdhca.texas.gov  Web: www.tdhca.texas.gov</t>
  </si>
  <si>
    <t xml:space="preserve">Copy of Hazard insurance </t>
  </si>
  <si>
    <t>THIRD PARTY ACTIVITY SOFT COSTS</t>
  </si>
  <si>
    <t>Total Third Party Activity Soft Costs</t>
  </si>
  <si>
    <t xml:space="preserve">Budget Line-Item Rows - Third Party Activity Soft Costs
This section applies to all projects with third-party activity soft costs associated with a TDHCA HOME loan or grant.  </t>
  </si>
  <si>
    <t>2025Reconstruction</t>
  </si>
  <si>
    <t>2025MHU Replacement</t>
  </si>
  <si>
    <t>2025New Construction</t>
  </si>
  <si>
    <r>
      <rPr>
        <b/>
        <sz val="10"/>
        <color indexed="8"/>
        <rFont val="Calibri"/>
        <family val="2"/>
      </rPr>
      <t xml:space="preserve">Administrator's Certification:  
</t>
    </r>
    <r>
      <rPr>
        <sz val="10"/>
        <color indexed="8"/>
        <rFont val="Calibri"/>
        <family val="2"/>
      </rPr>
      <t>By submitting this completed form to the Texas Department of Housing and Community Affairs (TDHCA), the above referenced Administrator does hereby certify that:
1) the information presented in this certification is true and accurate to the best of its knowledge; and
2) construction has been performed and satisfactorily completed in accordance with the terms and conditions of TDHCA, including, but not limited to, compliance with requirements pertaining to lead-based paint, energy efficiency, and applicable local, state, and federal requirements, pursuant to all rules and guidelines governing the HOME Program; and
3) all proceeds have been, and will be, used for HOME eligible costs and only for the purpose specified in the HOME Contract executed by and between TDHCA and Administrator; and
4) neither the Building Contractor, nor any agent of the Building Contractor, has been served with any notice, written or oral, that a lien will be claimed for any unpaid amount for materials delivered, labor performed, services provided, or materials provided in connection with the construction of all or any portion of the property herein identified; and
5) to the best of Administrator's knowledge, no basis exists for the filing of any mechanic's or materialman's liens with respect to all or any part of the real property or the unit herein identified; and
6) per 10 TAC 23.31(c)(5):   Administrator hereby certifies that its fiscal control and fund accounting procedures are adequate to assure the proper disbursal of, and accounting for, funds provided; that no Person that would benefit from the award of HOME funds has provided a source of Match or has satisfied Administrator's cash reserve obligation or made promises in connection therewith; that each request for disbursement of HOME funds is for the actual cost of providing a service and that the service does not violate any conflict of interest provisions.</t>
    </r>
  </si>
  <si>
    <t>Revised 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</si>
</sst>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51" x14ac:knownFonts="1">
    <font>
      <sz val="11"/>
      <color theme="1"/>
      <name val="Calibri"/>
      <family val="2"/>
      <scheme val="minor"/>
    </font>
    <font>
      <sz val="10"/>
      <name val="Times New Roman"/>
      <family val="1"/>
    </font>
    <font>
      <sz val="10"/>
      <name val="Arial"/>
      <family val="2"/>
    </font>
    <font>
      <sz val="10"/>
      <name val="Calibri"/>
      <family val="2"/>
    </font>
    <font>
      <sz val="9"/>
      <name val="Calibri"/>
      <family val="2"/>
    </font>
    <font>
      <b/>
      <sz val="9"/>
      <name val="Calibri"/>
      <family val="2"/>
    </font>
    <font>
      <b/>
      <sz val="10"/>
      <name val="Arial"/>
      <family val="2"/>
    </font>
    <font>
      <b/>
      <u/>
      <sz val="12"/>
      <name val="Arial"/>
      <family val="2"/>
    </font>
    <font>
      <b/>
      <sz val="10"/>
      <color indexed="8"/>
      <name val="Calibri"/>
      <family val="2"/>
    </font>
    <font>
      <b/>
      <sz val="9"/>
      <color indexed="8"/>
      <name val="Calibri"/>
      <family val="2"/>
    </font>
    <font>
      <b/>
      <sz val="8"/>
      <color indexed="8"/>
      <name val="Calibri"/>
      <family val="2"/>
    </font>
    <font>
      <sz val="12"/>
      <name val="Times New Roman"/>
      <family val="1"/>
    </font>
    <font>
      <sz val="10"/>
      <color indexed="8"/>
      <name val="Calibri"/>
      <family val="2"/>
    </font>
    <font>
      <b/>
      <sz val="9.5"/>
      <name val="Calibri"/>
      <family val="2"/>
    </font>
    <font>
      <sz val="9.5"/>
      <name val="Calibri"/>
      <family val="2"/>
    </font>
    <font>
      <sz val="11"/>
      <color theme="1"/>
      <name val="Calibri"/>
      <family val="2"/>
      <scheme val="minor"/>
    </font>
    <font>
      <sz val="11"/>
      <color rgb="FF9C0006"/>
      <name val="Calibri"/>
      <family val="2"/>
      <scheme val="minor"/>
    </font>
    <font>
      <u/>
      <sz val="11"/>
      <color theme="10"/>
      <name val="Calibri"/>
      <family val="2"/>
    </font>
    <font>
      <b/>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u/>
      <sz val="11"/>
      <color theme="0"/>
      <name val="Calibri"/>
      <family val="2"/>
    </font>
    <font>
      <u/>
      <sz val="10"/>
      <color theme="0"/>
      <name val="Calibri"/>
      <family val="2"/>
    </font>
    <font>
      <b/>
      <sz val="10"/>
      <name val="Calibri"/>
      <family val="2"/>
      <scheme val="minor"/>
    </font>
    <font>
      <sz val="10"/>
      <name val="Calibri"/>
      <family val="2"/>
      <scheme val="minor"/>
    </font>
    <font>
      <sz val="9"/>
      <name val="Calibri"/>
      <family val="2"/>
      <scheme val="minor"/>
    </font>
    <font>
      <b/>
      <sz val="9"/>
      <name val="Calibri"/>
      <family val="2"/>
      <scheme val="minor"/>
    </font>
    <font>
      <b/>
      <sz val="12"/>
      <color theme="1"/>
      <name val="Calibri"/>
      <family val="2"/>
      <scheme val="minor"/>
    </font>
    <font>
      <u/>
      <sz val="1"/>
      <color theme="0"/>
      <name val="Calibri"/>
      <family val="2"/>
    </font>
    <font>
      <sz val="1"/>
      <color theme="0"/>
      <name val="Calibri"/>
      <family val="2"/>
      <scheme val="minor"/>
    </font>
    <font>
      <sz val="4"/>
      <name val="Calibri"/>
      <family val="2"/>
      <scheme val="minor"/>
    </font>
    <font>
      <b/>
      <sz val="18"/>
      <name val="Calibri"/>
      <family val="2"/>
      <scheme val="minor"/>
    </font>
    <font>
      <b/>
      <sz val="14"/>
      <name val="Calibri"/>
      <family val="2"/>
      <scheme val="minor"/>
    </font>
    <font>
      <sz val="10"/>
      <color theme="0"/>
      <name val="Arial"/>
      <family val="2"/>
    </font>
    <font>
      <sz val="12"/>
      <color theme="1"/>
      <name val="Calibri"/>
      <family val="2"/>
      <scheme val="minor"/>
    </font>
    <font>
      <b/>
      <sz val="12"/>
      <name val="Calibri"/>
      <family val="2"/>
      <scheme val="minor"/>
    </font>
    <font>
      <sz val="12"/>
      <name val="Calibri"/>
      <family val="2"/>
      <scheme val="minor"/>
    </font>
    <font>
      <sz val="11"/>
      <name val="Calibri"/>
      <family val="2"/>
      <scheme val="minor"/>
    </font>
    <font>
      <sz val="9.5"/>
      <name val="Calibri"/>
      <family val="2"/>
      <scheme val="minor"/>
    </font>
    <font>
      <sz val="1"/>
      <color theme="0"/>
      <name val="Times New Roman"/>
      <family val="1"/>
    </font>
    <font>
      <b/>
      <sz val="11"/>
      <name val="Calibri"/>
      <family val="2"/>
      <scheme val="minor"/>
    </font>
    <font>
      <sz val="9"/>
      <color theme="0" tint="-0.249977111117893"/>
      <name val="Calibri"/>
      <family val="2"/>
      <scheme val="minor"/>
    </font>
    <font>
      <b/>
      <sz val="1"/>
      <color theme="0"/>
      <name val="Calibri"/>
      <family val="2"/>
      <scheme val="minor"/>
    </font>
    <font>
      <sz val="8"/>
      <color theme="1"/>
      <name val="Calibri"/>
      <family val="2"/>
      <scheme val="minor"/>
    </font>
    <font>
      <b/>
      <sz val="8"/>
      <color theme="1"/>
      <name val="Calibri"/>
      <family val="2"/>
      <scheme val="minor"/>
    </font>
    <font>
      <sz val="10"/>
      <color theme="1"/>
      <name val="Calibri"/>
      <family val="2"/>
    </font>
    <font>
      <sz val="11"/>
      <color theme="1"/>
      <name val="Calibri"/>
      <family val="2"/>
    </font>
    <font>
      <b/>
      <sz val="11"/>
      <color rgb="FF9C0006"/>
      <name val="Calibri"/>
      <family val="2"/>
      <scheme val="minor"/>
    </font>
    <font>
      <i/>
      <sz val="11"/>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FFC7CE"/>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6" tint="0.39997558519241921"/>
        <bgColor indexed="64"/>
      </patternFill>
    </fill>
    <fill>
      <patternFill patternType="solid">
        <fgColor rgb="FFFFFF00"/>
        <bgColor indexed="64"/>
      </patternFill>
    </fill>
  </fills>
  <borders count="121">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right/>
      <top/>
      <bottom style="double">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hair">
        <color indexed="64"/>
      </right>
      <top style="thin">
        <color indexed="64"/>
      </top>
      <bottom/>
      <diagonal/>
    </border>
    <border>
      <left/>
      <right style="hair">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double">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dotted">
        <color indexed="64"/>
      </bottom>
      <diagonal/>
    </border>
  </borders>
  <cellStyleXfs count="9">
    <xf numFmtId="0" fontId="0" fillId="0" borderId="0"/>
    <xf numFmtId="0" fontId="16" fillId="4" borderId="0" applyNumberFormat="0" applyBorder="0" applyAlignment="0" applyProtection="0"/>
    <xf numFmtId="43"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0" fontId="17" fillId="0" borderId="0" applyNumberFormat="0" applyFill="0" applyBorder="0" applyAlignment="0" applyProtection="0">
      <alignment vertical="top"/>
      <protection locked="0"/>
    </xf>
    <xf numFmtId="0" fontId="2" fillId="0" borderId="0"/>
    <xf numFmtId="9" fontId="15" fillId="0" borderId="0" applyFont="0" applyFill="0" applyBorder="0" applyAlignment="0" applyProtection="0"/>
    <xf numFmtId="9" fontId="2" fillId="0" borderId="0" applyFont="0" applyFill="0" applyBorder="0" applyAlignment="0" applyProtection="0"/>
  </cellStyleXfs>
  <cellXfs count="554">
    <xf numFmtId="0" fontId="0" fillId="0" borderId="0" xfId="0"/>
    <xf numFmtId="0" fontId="19" fillId="0" borderId="1" xfId="0" applyFont="1" applyBorder="1"/>
    <xf numFmtId="0" fontId="20" fillId="0" borderId="2" xfId="0" applyFont="1" applyBorder="1"/>
    <xf numFmtId="0" fontId="21" fillId="0" borderId="0" xfId="0" applyFont="1"/>
    <xf numFmtId="0" fontId="22" fillId="0" borderId="0" xfId="0" applyFont="1"/>
    <xf numFmtId="44" fontId="22" fillId="0" borderId="0" xfId="3" applyFont="1"/>
    <xf numFmtId="0" fontId="0" fillId="0" borderId="3" xfId="0" applyBorder="1"/>
    <xf numFmtId="0" fontId="0" fillId="0" borderId="2" xfId="0" applyBorder="1"/>
    <xf numFmtId="0" fontId="0" fillId="0" borderId="0" xfId="0" applyFill="1" applyBorder="1"/>
    <xf numFmtId="0" fontId="1" fillId="2" borderId="0" xfId="6" applyFont="1" applyFill="1" applyAlignment="1" applyProtection="1">
      <alignment horizontal="left" vertical="top" wrapText="1"/>
      <protection hidden="1"/>
    </xf>
    <xf numFmtId="0" fontId="2" fillId="0" borderId="0" xfId="6" applyAlignment="1">
      <alignment wrapText="1"/>
    </xf>
    <xf numFmtId="0" fontId="1" fillId="2" borderId="0" xfId="6" applyFont="1" applyFill="1" applyAlignment="1" applyProtection="1">
      <alignment wrapText="1"/>
      <protection hidden="1"/>
    </xf>
    <xf numFmtId="0" fontId="0" fillId="0" borderId="0" xfId="0" applyFill="1"/>
    <xf numFmtId="0" fontId="22" fillId="0" borderId="0" xfId="0" applyFont="1" applyFill="1"/>
    <xf numFmtId="0" fontId="23" fillId="0" borderId="0" xfId="5" applyFont="1" applyAlignment="1" applyProtection="1"/>
    <xf numFmtId="0" fontId="0" fillId="0" borderId="0" xfId="0" applyAlignment="1">
      <alignment horizontal="centerContinuous"/>
    </xf>
    <xf numFmtId="0" fontId="0" fillId="0" borderId="4" xfId="0" applyBorder="1" applyAlignment="1">
      <alignment horizontal="centerContinuous"/>
    </xf>
    <xf numFmtId="0" fontId="22" fillId="0" borderId="4" xfId="0" applyFont="1" applyFill="1" applyBorder="1" applyAlignment="1">
      <alignment horizontal="centerContinuous"/>
    </xf>
    <xf numFmtId="0" fontId="22" fillId="0" borderId="4" xfId="0" applyFont="1" applyFill="1" applyBorder="1" applyAlignment="1">
      <alignment horizontal="centerContinuous" wrapText="1"/>
    </xf>
    <xf numFmtId="44" fontId="22" fillId="0" borderId="4" xfId="3" applyFont="1" applyFill="1" applyBorder="1" applyAlignment="1">
      <alignment horizontal="centerContinuous"/>
    </xf>
    <xf numFmtId="0" fontId="18" fillId="0" borderId="4" xfId="0" applyFont="1" applyBorder="1" applyAlignment="1">
      <alignment horizontal="centerContinuous"/>
    </xf>
    <xf numFmtId="0" fontId="18" fillId="0" borderId="5" xfId="0" applyFont="1" applyBorder="1" applyAlignment="1">
      <alignment horizontal="centerContinuous"/>
    </xf>
    <xf numFmtId="0" fontId="21" fillId="5" borderId="6" xfId="0" applyFont="1" applyFill="1" applyBorder="1" applyAlignment="1">
      <alignment horizontal="center" vertical="center" textRotation="90" wrapText="1"/>
    </xf>
    <xf numFmtId="0" fontId="21" fillId="5" borderId="7" xfId="0" applyFont="1" applyFill="1" applyBorder="1" applyAlignment="1">
      <alignment horizontal="center" vertical="center" textRotation="90" wrapText="1"/>
    </xf>
    <xf numFmtId="0" fontId="21" fillId="0" borderId="4" xfId="0" applyFont="1" applyFill="1" applyBorder="1" applyAlignment="1">
      <alignment horizontal="centerContinuous"/>
    </xf>
    <xf numFmtId="164" fontId="21" fillId="0" borderId="4" xfId="0" applyNumberFormat="1" applyFont="1" applyFill="1" applyBorder="1" applyAlignment="1">
      <alignment horizontal="centerContinuous"/>
    </xf>
    <xf numFmtId="0" fontId="24" fillId="0" borderId="0" xfId="5" applyFont="1" applyAlignment="1" applyProtection="1"/>
    <xf numFmtId="0" fontId="19" fillId="6" borderId="0" xfId="0" applyFont="1" applyFill="1" applyAlignment="1" applyProtection="1">
      <alignment horizontal="center"/>
      <protection locked="0"/>
    </xf>
    <xf numFmtId="0" fontId="19" fillId="0" borderId="0" xfId="0" applyFont="1" applyBorder="1"/>
    <xf numFmtId="0" fontId="19" fillId="0" borderId="1" xfId="0" applyFont="1" applyBorder="1" applyAlignment="1">
      <alignment horizontal="left"/>
    </xf>
    <xf numFmtId="44" fontId="19" fillId="6" borderId="6" xfId="3" applyFont="1" applyFill="1" applyBorder="1" applyProtection="1">
      <protection locked="0"/>
    </xf>
    <xf numFmtId="0" fontId="19" fillId="6" borderId="6" xfId="0" applyFont="1" applyFill="1" applyBorder="1" applyAlignment="1" applyProtection="1">
      <alignment horizontal="center"/>
      <protection locked="0"/>
    </xf>
    <xf numFmtId="0" fontId="19" fillId="6" borderId="6" xfId="0" applyFont="1" applyFill="1" applyBorder="1" applyProtection="1">
      <protection locked="0"/>
    </xf>
    <xf numFmtId="44" fontId="20" fillId="0" borderId="6" xfId="3" applyFont="1" applyFill="1" applyBorder="1" applyProtection="1"/>
    <xf numFmtId="44" fontId="20" fillId="0" borderId="8" xfId="3" applyFont="1" applyFill="1" applyBorder="1" applyProtection="1"/>
    <xf numFmtId="44" fontId="20" fillId="5" borderId="9" xfId="0" applyNumberFormat="1" applyFont="1" applyFill="1" applyBorder="1" applyProtection="1"/>
    <xf numFmtId="0" fontId="19" fillId="0" borderId="1" xfId="0" applyFont="1" applyFill="1" applyBorder="1"/>
    <xf numFmtId="44" fontId="20" fillId="0" borderId="9" xfId="3" applyFont="1" applyFill="1" applyBorder="1" applyProtection="1"/>
    <xf numFmtId="44" fontId="20" fillId="0" borderId="10" xfId="3" applyFont="1" applyFill="1" applyBorder="1" applyProtection="1"/>
    <xf numFmtId="0" fontId="0" fillId="0" borderId="5" xfId="0" applyBorder="1" applyAlignment="1">
      <alignment horizontal="centerContinuous"/>
    </xf>
    <xf numFmtId="0" fontId="0" fillId="0" borderId="0" xfId="0" applyProtection="1">
      <protection locked="0"/>
    </xf>
    <xf numFmtId="0" fontId="25" fillId="7" borderId="8" xfId="6" applyFont="1" applyFill="1" applyBorder="1" applyAlignment="1" applyProtection="1">
      <alignment horizontal="centerContinuous" vertical="top" wrapText="1"/>
      <protection locked="0"/>
    </xf>
    <xf numFmtId="0" fontId="25" fillId="2" borderId="6" xfId="6" applyFont="1" applyFill="1" applyBorder="1" applyAlignment="1" applyProtection="1">
      <alignment vertical="top" wrapText="1"/>
      <protection locked="0"/>
    </xf>
    <xf numFmtId="0" fontId="26" fillId="2" borderId="9" xfId="6" applyFont="1" applyFill="1" applyBorder="1" applyAlignment="1" applyProtection="1">
      <alignment horizontal="left" vertical="top" wrapText="1"/>
      <protection locked="0"/>
    </xf>
    <xf numFmtId="0" fontId="26" fillId="7" borderId="9" xfId="6" applyFont="1" applyFill="1" applyBorder="1" applyAlignment="1" applyProtection="1">
      <alignment horizontal="centerContinuous" vertical="top" wrapText="1"/>
      <protection locked="0"/>
    </xf>
    <xf numFmtId="0" fontId="25" fillId="2" borderId="8" xfId="6" applyFont="1" applyFill="1" applyBorder="1" applyAlignment="1" applyProtection="1">
      <alignment vertical="top" wrapText="1"/>
      <protection locked="0"/>
    </xf>
    <xf numFmtId="0" fontId="25" fillId="2" borderId="8" xfId="6" applyFont="1" applyFill="1" applyBorder="1" applyAlignment="1" applyProtection="1">
      <alignment horizontal="left" vertical="top" wrapText="1"/>
      <protection locked="0"/>
    </xf>
    <xf numFmtId="0" fontId="0" fillId="7" borderId="9" xfId="0" applyFill="1" applyBorder="1" applyAlignment="1" applyProtection="1">
      <alignment horizontal="centerContinuous"/>
      <protection locked="0"/>
    </xf>
    <xf numFmtId="0" fontId="22" fillId="0" borderId="11" xfId="0" applyFont="1" applyBorder="1" applyAlignment="1"/>
    <xf numFmtId="0" fontId="22" fillId="0" borderId="12" xfId="0" applyFont="1" applyBorder="1" applyAlignment="1"/>
    <xf numFmtId="0" fontId="27" fillId="2" borderId="0" xfId="0" applyFont="1" applyFill="1"/>
    <xf numFmtId="0" fontId="28" fillId="0" borderId="3" xfId="0" applyFont="1" applyBorder="1"/>
    <xf numFmtId="0" fontId="27" fillId="2" borderId="0" xfId="0" applyFont="1" applyFill="1" applyAlignment="1">
      <alignment horizontal="centerContinuous"/>
    </xf>
    <xf numFmtId="0" fontId="27" fillId="2" borderId="10"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6" borderId="10" xfId="0" applyFont="1" applyFill="1" applyBorder="1" applyProtection="1">
      <protection locked="0"/>
    </xf>
    <xf numFmtId="44" fontId="27" fillId="6" borderId="10" xfId="3" applyFont="1" applyFill="1" applyBorder="1" applyProtection="1">
      <protection locked="0"/>
    </xf>
    <xf numFmtId="10" fontId="27" fillId="2" borderId="13" xfId="7" applyNumberFormat="1" applyFont="1" applyFill="1" applyBorder="1"/>
    <xf numFmtId="14" fontId="27" fillId="6" borderId="10" xfId="7" applyNumberFormat="1" applyFont="1" applyFill="1" applyBorder="1" applyProtection="1">
      <protection locked="0"/>
    </xf>
    <xf numFmtId="0" fontId="27" fillId="2" borderId="1" xfId="0" applyFont="1" applyFill="1" applyBorder="1" applyAlignment="1">
      <alignment horizontal="center"/>
    </xf>
    <xf numFmtId="0" fontId="27" fillId="2" borderId="0" xfId="0" applyFont="1" applyFill="1" applyProtection="1">
      <protection hidden="1"/>
    </xf>
    <xf numFmtId="44" fontId="27" fillId="2" borderId="0" xfId="0" applyNumberFormat="1" applyFont="1" applyFill="1"/>
    <xf numFmtId="10" fontId="28" fillId="2" borderId="0" xfId="7" applyNumberFormat="1" applyFont="1" applyFill="1"/>
    <xf numFmtId="0" fontId="27" fillId="2" borderId="14" xfId="0" applyFont="1" applyFill="1" applyBorder="1" applyProtection="1">
      <protection hidden="1"/>
    </xf>
    <xf numFmtId="44" fontId="27" fillId="2" borderId="14" xfId="0" applyNumberFormat="1" applyFont="1" applyFill="1" applyBorder="1"/>
    <xf numFmtId="0" fontId="28" fillId="0" borderId="0" xfId="0" applyFont="1" applyFill="1" applyBorder="1" applyAlignment="1">
      <alignment horizontal="centerContinuous" vertical="center" wrapText="1"/>
    </xf>
    <xf numFmtId="0" fontId="28" fillId="2" borderId="0" xfId="0" applyFont="1" applyFill="1" applyAlignment="1">
      <alignment horizontal="centerContinuous"/>
    </xf>
    <xf numFmtId="0" fontId="28" fillId="0" borderId="0" xfId="0" applyFont="1" applyFill="1" applyBorder="1" applyAlignment="1" applyProtection="1">
      <alignment horizontal="centerContinuous" vertical="center" wrapText="1"/>
      <protection locked="0"/>
    </xf>
    <xf numFmtId="0" fontId="23" fillId="2" borderId="15" xfId="5" applyFont="1" applyFill="1" applyBorder="1" applyAlignment="1" applyProtection="1">
      <alignment horizontal="center"/>
    </xf>
    <xf numFmtId="0" fontId="29" fillId="0" borderId="11" xfId="0" applyFont="1" applyBorder="1" applyAlignment="1"/>
    <xf numFmtId="0" fontId="17" fillId="0" borderId="16" xfId="5" applyBorder="1" applyAlignment="1" applyProtection="1"/>
    <xf numFmtId="0" fontId="26" fillId="2" borderId="0" xfId="0" applyFont="1" applyFill="1" applyBorder="1"/>
    <xf numFmtId="0" fontId="26" fillId="2" borderId="8" xfId="0" applyFont="1" applyFill="1" applyBorder="1"/>
    <xf numFmtId="0" fontId="32" fillId="2" borderId="8" xfId="0" applyFont="1" applyFill="1" applyBorder="1"/>
    <xf numFmtId="0" fontId="2" fillId="2" borderId="0" xfId="6" applyFill="1"/>
    <xf numFmtId="0" fontId="2" fillId="2" borderId="0" xfId="6" applyFill="1" applyAlignment="1">
      <alignment horizontal="centerContinuous"/>
    </xf>
    <xf numFmtId="0" fontId="7" fillId="2" borderId="0" xfId="6" applyFont="1" applyFill="1" applyAlignment="1">
      <alignment horizontal="centerContinuous"/>
    </xf>
    <xf numFmtId="0" fontId="33" fillId="2" borderId="0" xfId="6" applyFont="1" applyFill="1" applyAlignment="1">
      <alignment horizontal="centerContinuous" vertical="center" wrapText="1"/>
    </xf>
    <xf numFmtId="0" fontId="26" fillId="2" borderId="0" xfId="6" applyFont="1" applyFill="1" applyAlignment="1">
      <alignment horizontal="centerContinuous"/>
    </xf>
    <xf numFmtId="0" fontId="26" fillId="2" borderId="0" xfId="6" applyFont="1" applyFill="1"/>
    <xf numFmtId="0" fontId="34" fillId="2" borderId="0" xfId="6" applyFont="1" applyFill="1" applyAlignment="1">
      <alignment horizontal="centerContinuous" vertical="center" wrapText="1"/>
    </xf>
    <xf numFmtId="0" fontId="17" fillId="0" borderId="0" xfId="5" applyAlignment="1" applyProtection="1">
      <protection locked="0"/>
    </xf>
    <xf numFmtId="0" fontId="23" fillId="2" borderId="0" xfId="5" applyFont="1" applyFill="1" applyAlignment="1" applyProtection="1"/>
    <xf numFmtId="0" fontId="35" fillId="2" borderId="0" xfId="6" applyFont="1" applyFill="1"/>
    <xf numFmtId="0" fontId="6" fillId="2" borderId="0" xfId="6" applyFont="1" applyFill="1"/>
    <xf numFmtId="0" fontId="0" fillId="0" borderId="0" xfId="0" applyFont="1" applyProtection="1">
      <protection hidden="1"/>
    </xf>
    <xf numFmtId="0" fontId="27" fillId="3" borderId="10" xfId="0" applyFont="1" applyFill="1" applyBorder="1" applyAlignment="1">
      <alignment horizontal="center"/>
    </xf>
    <xf numFmtId="0" fontId="18" fillId="5" borderId="13" xfId="0" applyFont="1" applyFill="1" applyBorder="1" applyAlignment="1" applyProtection="1">
      <alignment horizontal="centerContinuous"/>
      <protection locked="0"/>
    </xf>
    <xf numFmtId="0" fontId="18" fillId="5" borderId="22" xfId="0" applyFont="1" applyFill="1" applyBorder="1" applyAlignment="1" applyProtection="1">
      <alignment horizontal="centerContinuous"/>
      <protection locked="0"/>
    </xf>
    <xf numFmtId="0" fontId="25" fillId="5" borderId="8" xfId="6" applyFont="1" applyFill="1" applyBorder="1" applyAlignment="1" applyProtection="1">
      <alignment horizontal="centerContinuous" vertical="top" wrapText="1"/>
      <protection locked="0"/>
    </xf>
    <xf numFmtId="0" fontId="26" fillId="5" borderId="9" xfId="6" applyFont="1" applyFill="1" applyBorder="1" applyAlignment="1" applyProtection="1">
      <alignment horizontal="centerContinuous" vertical="top" wrapText="1"/>
      <protection locked="0"/>
    </xf>
    <xf numFmtId="0" fontId="0" fillId="0" borderId="0" xfId="0" applyAlignment="1">
      <alignment horizontal="center"/>
    </xf>
    <xf numFmtId="0" fontId="0" fillId="0" borderId="4" xfId="0" applyBorder="1" applyAlignment="1">
      <alignment horizontal="center"/>
    </xf>
    <xf numFmtId="0" fontId="22" fillId="0" borderId="4" xfId="0" applyFont="1" applyFill="1" applyBorder="1" applyAlignment="1">
      <alignment horizontal="center"/>
    </xf>
    <xf numFmtId="0" fontId="22" fillId="0" borderId="0" xfId="0" applyFont="1" applyAlignment="1">
      <alignment horizontal="center"/>
    </xf>
    <xf numFmtId="164" fontId="22" fillId="0" borderId="4" xfId="0" applyNumberFormat="1" applyFont="1" applyFill="1" applyBorder="1" applyAlignment="1">
      <alignment horizontal="center"/>
    </xf>
    <xf numFmtId="164" fontId="22" fillId="0" borderId="0" xfId="0" applyNumberFormat="1" applyFont="1" applyAlignment="1">
      <alignment horizontal="center"/>
    </xf>
    <xf numFmtId="0" fontId="26" fillId="2" borderId="27" xfId="0" applyFont="1" applyFill="1" applyBorder="1"/>
    <xf numFmtId="0" fontId="25" fillId="7" borderId="28" xfId="6" applyFont="1" applyFill="1" applyBorder="1" applyAlignment="1" applyProtection="1">
      <alignment horizontal="centerContinuous" vertical="top" wrapText="1"/>
      <protection locked="0"/>
    </xf>
    <xf numFmtId="0" fontId="26" fillId="7" borderId="29" xfId="6" applyFont="1" applyFill="1" applyBorder="1" applyAlignment="1" applyProtection="1">
      <alignment horizontal="centerContinuous" vertical="top" wrapText="1"/>
      <protection locked="0"/>
    </xf>
    <xf numFmtId="0" fontId="25" fillId="7" borderId="30" xfId="6" applyFont="1" applyFill="1" applyBorder="1" applyAlignment="1" applyProtection="1">
      <alignment horizontal="centerContinuous" vertical="top" wrapText="1"/>
      <protection locked="0"/>
    </xf>
    <xf numFmtId="0" fontId="19" fillId="0" borderId="20" xfId="0" applyFont="1" applyBorder="1"/>
    <xf numFmtId="0" fontId="19" fillId="0" borderId="20" xfId="0" applyFont="1" applyFill="1" applyBorder="1"/>
    <xf numFmtId="0" fontId="19" fillId="0" borderId="0" xfId="0" applyFont="1" applyBorder="1" applyProtection="1"/>
    <xf numFmtId="0" fontId="26" fillId="0" borderId="0" xfId="0" applyFont="1" applyBorder="1" applyAlignment="1" applyProtection="1">
      <alignment wrapText="1"/>
    </xf>
    <xf numFmtId="44" fontId="19" fillId="0" borderId="6" xfId="3" applyFont="1" applyFill="1" applyBorder="1" applyProtection="1"/>
    <xf numFmtId="3" fontId="19" fillId="6" borderId="0" xfId="0" applyNumberFormat="1" applyFont="1" applyFill="1" applyAlignment="1" applyProtection="1">
      <alignment horizontal="center"/>
      <protection locked="0"/>
    </xf>
    <xf numFmtId="44" fontId="20" fillId="0" borderId="34" xfId="3" applyFont="1" applyFill="1" applyBorder="1"/>
    <xf numFmtId="44" fontId="20" fillId="0" borderId="35" xfId="3" applyFont="1" applyFill="1" applyBorder="1"/>
    <xf numFmtId="0" fontId="22" fillId="0" borderId="0" xfId="0" applyFont="1" applyBorder="1"/>
    <xf numFmtId="0" fontId="0" fillId="0" borderId="0" xfId="0" applyFill="1" applyAlignment="1">
      <alignment horizontal="center"/>
    </xf>
    <xf numFmtId="0" fontId="21" fillId="5" borderId="36" xfId="0" applyFont="1" applyFill="1" applyBorder="1" applyAlignment="1">
      <alignment horizontal="center" vertical="center" textRotation="90" wrapText="1"/>
    </xf>
    <xf numFmtId="0" fontId="36" fillId="0" borderId="0" xfId="0" applyFont="1" applyProtection="1">
      <protection hidden="1"/>
    </xf>
    <xf numFmtId="14" fontId="37" fillId="6" borderId="22" xfId="0" applyNumberFormat="1" applyFont="1" applyFill="1" applyBorder="1" applyAlignment="1" applyProtection="1">
      <alignment horizontal="center" vertical="center"/>
      <protection locked="0"/>
    </xf>
    <xf numFmtId="0" fontId="29" fillId="0" borderId="22" xfId="0" applyFont="1" applyBorder="1" applyAlignment="1" applyProtection="1">
      <alignment horizontal="center" vertical="center"/>
      <protection hidden="1"/>
    </xf>
    <xf numFmtId="0" fontId="37" fillId="6" borderId="22" xfId="0" applyFont="1" applyFill="1" applyBorder="1" applyAlignment="1" applyProtection="1">
      <alignment horizontal="center" vertical="center"/>
      <protection locked="0" hidden="1"/>
    </xf>
    <xf numFmtId="44" fontId="18" fillId="0" borderId="0" xfId="0" applyNumberFormat="1" applyFont="1" applyAlignment="1" applyProtection="1">
      <alignment horizontal="left"/>
      <protection hidden="1"/>
    </xf>
    <xf numFmtId="44" fontId="0" fillId="0" borderId="0" xfId="0" applyNumberFormat="1" applyProtection="1">
      <protection hidden="1"/>
    </xf>
    <xf numFmtId="0" fontId="0" fillId="0" borderId="0" xfId="0" applyAlignment="1" applyProtection="1">
      <alignment vertical="top" wrapText="1"/>
      <protection hidden="1"/>
    </xf>
    <xf numFmtId="0" fontId="0" fillId="0" borderId="37" xfId="0" applyFont="1" applyBorder="1" applyAlignment="1" applyProtection="1">
      <alignment vertical="top"/>
      <protection hidden="1"/>
    </xf>
    <xf numFmtId="0" fontId="38" fillId="2" borderId="13" xfId="0" applyFont="1" applyFill="1" applyBorder="1" applyAlignment="1" applyProtection="1">
      <alignment horizontal="right" vertical="center"/>
      <protection hidden="1"/>
    </xf>
    <xf numFmtId="0" fontId="38" fillId="2" borderId="13" xfId="0" applyFont="1" applyFill="1" applyBorder="1" applyAlignment="1" applyProtection="1">
      <alignment horizontal="right" vertical="center" wrapText="1"/>
      <protection hidden="1"/>
    </xf>
    <xf numFmtId="0" fontId="36" fillId="0" borderId="13" xfId="0" applyFont="1" applyBorder="1" applyAlignment="1" applyProtection="1">
      <alignment horizontal="right" vertical="center" wrapText="1"/>
      <protection hidden="1"/>
    </xf>
    <xf numFmtId="0" fontId="0" fillId="0" borderId="20" xfId="0" applyFont="1" applyBorder="1" applyProtection="1">
      <protection hidden="1"/>
    </xf>
    <xf numFmtId="0" fontId="0" fillId="0" borderId="38" xfId="0" applyFont="1" applyBorder="1" applyProtection="1">
      <protection hidden="1"/>
    </xf>
    <xf numFmtId="0" fontId="36" fillId="0" borderId="0" xfId="0" applyFont="1" applyBorder="1" applyAlignment="1" applyProtection="1">
      <alignment horizontal="right"/>
      <protection hidden="1"/>
    </xf>
    <xf numFmtId="0" fontId="38" fillId="2" borderId="16" xfId="0" applyFont="1" applyFill="1" applyBorder="1" applyAlignment="1" applyProtection="1">
      <alignment horizontal="right"/>
      <protection hidden="1"/>
    </xf>
    <xf numFmtId="0" fontId="19" fillId="8" borderId="3" xfId="0" applyFont="1" applyFill="1" applyBorder="1" applyAlignment="1" applyProtection="1">
      <alignment horizontal="center"/>
    </xf>
    <xf numFmtId="0" fontId="19" fillId="8" borderId="39" xfId="0" applyFont="1" applyFill="1" applyBorder="1" applyProtection="1"/>
    <xf numFmtId="0" fontId="22" fillId="8" borderId="0" xfId="0" applyFont="1" applyFill="1" applyBorder="1"/>
    <xf numFmtId="164" fontId="22" fillId="8" borderId="0" xfId="0" applyNumberFormat="1" applyFont="1" applyFill="1" applyBorder="1"/>
    <xf numFmtId="0" fontId="22" fillId="8" borderId="0" xfId="0" applyFont="1" applyFill="1" applyBorder="1" applyAlignment="1">
      <alignment horizontal="center"/>
    </xf>
    <xf numFmtId="44" fontId="22" fillId="8" borderId="0" xfId="3" applyFont="1" applyFill="1" applyBorder="1"/>
    <xf numFmtId="0" fontId="22" fillId="8" borderId="40" xfId="0" applyFont="1" applyFill="1" applyBorder="1"/>
    <xf numFmtId="0" fontId="29" fillId="0" borderId="18" xfId="0" applyFont="1" applyBorder="1" applyAlignment="1" applyProtection="1">
      <alignment vertical="top"/>
      <protection hidden="1"/>
    </xf>
    <xf numFmtId="0" fontId="28" fillId="2" borderId="0" xfId="0" applyFont="1" applyFill="1" applyAlignment="1" applyProtection="1">
      <alignment horizontal="centerContinuous"/>
      <protection hidden="1"/>
    </xf>
    <xf numFmtId="14" fontId="27" fillId="8" borderId="2" xfId="7" applyNumberFormat="1" applyFont="1" applyFill="1" applyBorder="1" applyProtection="1"/>
    <xf numFmtId="14" fontId="27" fillId="8" borderId="1" xfId="7" applyNumberFormat="1" applyFont="1" applyFill="1" applyBorder="1" applyProtection="1"/>
    <xf numFmtId="0" fontId="27" fillId="8" borderId="2" xfId="0" applyFont="1" applyFill="1" applyBorder="1"/>
    <xf numFmtId="0" fontId="27" fillId="8" borderId="1" xfId="0" applyFont="1" applyFill="1" applyBorder="1"/>
    <xf numFmtId="14" fontId="27" fillId="8" borderId="41" xfId="7" applyNumberFormat="1" applyFont="1" applyFill="1" applyBorder="1" applyProtection="1"/>
    <xf numFmtId="0" fontId="27" fillId="8" borderId="41" xfId="0" applyFont="1" applyFill="1" applyBorder="1"/>
    <xf numFmtId="0" fontId="11" fillId="2" borderId="0" xfId="0" applyFont="1" applyFill="1"/>
    <xf numFmtId="0" fontId="11" fillId="2" borderId="0" xfId="0" applyFont="1" applyFill="1" applyAlignment="1">
      <alignment horizontal="center" vertical="center" wrapText="1"/>
    </xf>
    <xf numFmtId="0" fontId="23" fillId="0" borderId="0" xfId="5" applyFont="1" applyAlignment="1" applyProtection="1">
      <alignment horizontal="center"/>
    </xf>
    <xf numFmtId="0" fontId="38" fillId="0" borderId="13" xfId="0" applyFont="1" applyBorder="1" applyAlignment="1" applyProtection="1">
      <alignment horizontal="right" vertical="center"/>
      <protection hidden="1"/>
    </xf>
    <xf numFmtId="0" fontId="4" fillId="2"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14" fontId="27" fillId="3" borderId="10" xfId="0" applyNumberFormat="1" applyFont="1" applyFill="1" applyBorder="1" applyAlignment="1">
      <alignment horizontal="center"/>
    </xf>
    <xf numFmtId="0" fontId="38" fillId="0" borderId="0" xfId="0" applyFont="1"/>
    <xf numFmtId="0" fontId="38" fillId="0" borderId="0" xfId="0" applyFont="1" applyFill="1"/>
    <xf numFmtId="0" fontId="11" fillId="2" borderId="0" xfId="6" applyFont="1" applyFill="1" applyAlignment="1" applyProtection="1">
      <alignment horizontal="left" vertical="top" wrapText="1"/>
      <protection hidden="1"/>
    </xf>
    <xf numFmtId="0" fontId="0" fillId="0" borderId="0" xfId="0" applyAlignment="1" applyProtection="1">
      <alignment vertical="center"/>
      <protection locked="0"/>
    </xf>
    <xf numFmtId="0" fontId="25" fillId="7" borderId="42" xfId="6" applyFont="1" applyFill="1" applyBorder="1" applyAlignment="1" applyProtection="1">
      <alignment horizontal="centerContinuous" vertical="top" wrapText="1"/>
      <protection locked="0"/>
    </xf>
    <xf numFmtId="0" fontId="18" fillId="0" borderId="6" xfId="0" applyFont="1" applyBorder="1" applyProtection="1">
      <protection locked="0"/>
    </xf>
    <xf numFmtId="0" fontId="18" fillId="0" borderId="0" xfId="0" applyFont="1" applyAlignment="1" applyProtection="1">
      <alignment vertical="center"/>
      <protection locked="0"/>
    </xf>
    <xf numFmtId="0" fontId="4" fillId="2" borderId="10" xfId="0" applyFont="1" applyFill="1" applyBorder="1" applyAlignment="1" applyProtection="1">
      <alignment horizontal="center" vertical="center" wrapText="1"/>
      <protection hidden="1"/>
    </xf>
    <xf numFmtId="0" fontId="27" fillId="2" borderId="10" xfId="0" applyFont="1" applyFill="1" applyBorder="1" applyAlignment="1">
      <alignment horizontal="center" vertical="top" wrapText="1"/>
    </xf>
    <xf numFmtId="0" fontId="39" fillId="0" borderId="0" xfId="0" applyFont="1" applyProtection="1">
      <protection locked="0"/>
    </xf>
    <xf numFmtId="0" fontId="20" fillId="0" borderId="36"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24" xfId="0" applyFont="1" applyFill="1" applyBorder="1" applyAlignment="1">
      <alignment horizontal="center" vertical="top" wrapText="1"/>
    </xf>
    <xf numFmtId="0" fontId="20" fillId="0" borderId="43" xfId="0" applyFont="1" applyFill="1" applyBorder="1" applyAlignment="1">
      <alignment horizontal="center" vertical="top" wrapText="1"/>
    </xf>
    <xf numFmtId="0" fontId="17" fillId="0" borderId="0" xfId="5" applyAlignment="1" applyProtection="1">
      <alignment horizontal="center"/>
      <protection locked="0"/>
    </xf>
    <xf numFmtId="0" fontId="21" fillId="0" borderId="0" xfId="0" applyFont="1" applyAlignment="1">
      <alignment horizontal="center"/>
    </xf>
    <xf numFmtId="0" fontId="40" fillId="2" borderId="9" xfId="0" applyFont="1" applyFill="1" applyBorder="1" applyAlignment="1">
      <alignment vertical="top" wrapText="1"/>
    </xf>
    <xf numFmtId="0" fontId="40" fillId="2" borderId="44" xfId="0" applyFont="1" applyFill="1" applyBorder="1" applyAlignment="1">
      <alignment vertical="top" wrapText="1"/>
    </xf>
    <xf numFmtId="0" fontId="40" fillId="2" borderId="9" xfId="0" applyFont="1" applyFill="1" applyBorder="1" applyAlignment="1">
      <alignment wrapText="1"/>
    </xf>
    <xf numFmtId="0" fontId="27" fillId="2" borderId="11" xfId="0" applyFont="1" applyFill="1" applyBorder="1"/>
    <xf numFmtId="0" fontId="19" fillId="8" borderId="0" xfId="0" applyFont="1" applyFill="1" applyBorder="1" applyAlignment="1" applyProtection="1">
      <alignment horizontal="center"/>
    </xf>
    <xf numFmtId="0" fontId="19" fillId="8" borderId="0" xfId="0" applyFont="1" applyFill="1" applyBorder="1" applyProtection="1"/>
    <xf numFmtId="0" fontId="37" fillId="6" borderId="30" xfId="6" applyFont="1" applyFill="1" applyBorder="1" applyAlignment="1" applyProtection="1">
      <alignment horizontal="center" vertical="center"/>
      <protection locked="0"/>
    </xf>
    <xf numFmtId="0" fontId="30" fillId="0" borderId="0" xfId="5" applyFont="1" applyAlignment="1" applyProtection="1"/>
    <xf numFmtId="0" fontId="30" fillId="0" borderId="0" xfId="5" applyFont="1" applyFill="1" applyAlignment="1" applyProtection="1"/>
    <xf numFmtId="0" fontId="31" fillId="0" borderId="0" xfId="0" applyFont="1"/>
    <xf numFmtId="0" fontId="41" fillId="2" borderId="0" xfId="0" applyFont="1" applyFill="1"/>
    <xf numFmtId="0" fontId="30" fillId="2" borderId="0" xfId="5" applyFont="1" applyFill="1" applyAlignment="1" applyProtection="1"/>
    <xf numFmtId="0" fontId="30" fillId="2" borderId="0" xfId="5" applyFont="1" applyFill="1" applyAlignment="1" applyProtection="1">
      <alignment horizontal="left" vertical="center" wrapText="1"/>
    </xf>
    <xf numFmtId="0" fontId="41" fillId="2" borderId="0" xfId="6" applyFont="1" applyFill="1" applyAlignment="1" applyProtection="1">
      <alignment horizontal="left" vertical="top" wrapText="1"/>
      <protection hidden="1"/>
    </xf>
    <xf numFmtId="0" fontId="29" fillId="0" borderId="0" xfId="0" applyFont="1" applyAlignment="1">
      <alignment horizontal="centerContinuous"/>
    </xf>
    <xf numFmtId="0" fontId="37" fillId="0" borderId="0" xfId="6" applyFont="1" applyFill="1" applyBorder="1" applyAlignment="1" applyProtection="1">
      <alignment horizontal="center" vertical="center"/>
      <protection hidden="1"/>
    </xf>
    <xf numFmtId="44" fontId="15" fillId="0" borderId="0" xfId="3" applyFont="1" applyProtection="1">
      <protection hidden="1"/>
    </xf>
    <xf numFmtId="44" fontId="15" fillId="0" borderId="18" xfId="3" applyFont="1" applyBorder="1" applyProtection="1">
      <protection hidden="1"/>
    </xf>
    <xf numFmtId="44" fontId="18" fillId="0" borderId="0" xfId="3" applyFont="1" applyAlignment="1" applyProtection="1">
      <alignment horizontal="right"/>
      <protection hidden="1"/>
    </xf>
    <xf numFmtId="0" fontId="0" fillId="0" borderId="16" xfId="0" applyFont="1" applyBorder="1" applyAlignment="1" applyProtection="1">
      <alignment horizontal="right"/>
      <protection hidden="1"/>
    </xf>
    <xf numFmtId="0" fontId="0" fillId="0" borderId="0" xfId="0" applyFont="1" applyBorder="1" applyAlignment="1" applyProtection="1">
      <alignment horizontal="right"/>
      <protection hidden="1"/>
    </xf>
    <xf numFmtId="44" fontId="15" fillId="0" borderId="37" xfId="3" applyFont="1" applyBorder="1" applyProtection="1">
      <protection hidden="1"/>
    </xf>
    <xf numFmtId="44" fontId="42" fillId="0" borderId="12" xfId="3" applyNumberFormat="1" applyFont="1" applyBorder="1" applyAlignment="1" applyProtection="1">
      <alignment horizontal="right" vertical="center"/>
      <protection hidden="1"/>
    </xf>
    <xf numFmtId="44" fontId="18" fillId="0" borderId="37" xfId="3" applyFont="1" applyBorder="1" applyAlignment="1" applyProtection="1">
      <alignment horizontal="right" vertical="top"/>
      <protection hidden="1"/>
    </xf>
    <xf numFmtId="0" fontId="21" fillId="0" borderId="5" xfId="0" applyFont="1" applyFill="1" applyBorder="1" applyAlignment="1">
      <alignment horizontal="centerContinuous"/>
    </xf>
    <xf numFmtId="44" fontId="20" fillId="0" borderId="45" xfId="3" applyFont="1" applyFill="1" applyBorder="1" applyProtection="1"/>
    <xf numFmtId="0" fontId="22" fillId="6" borderId="47" xfId="0" applyFont="1" applyFill="1" applyBorder="1" applyAlignment="1" applyProtection="1">
      <alignment horizontal="center"/>
      <protection locked="0"/>
    </xf>
    <xf numFmtId="0" fontId="22" fillId="6" borderId="47" xfId="0" applyFont="1" applyFill="1" applyBorder="1" applyAlignment="1" applyProtection="1">
      <alignment wrapText="1"/>
      <protection locked="0"/>
    </xf>
    <xf numFmtId="164" fontId="22" fillId="6" borderId="47" xfId="0" applyNumberFormat="1" applyFont="1" applyFill="1" applyBorder="1" applyAlignment="1" applyProtection="1">
      <alignment horizontal="center"/>
      <protection locked="0"/>
    </xf>
    <xf numFmtId="44" fontId="22" fillId="0" borderId="47" xfId="3" applyFont="1" applyFill="1" applyBorder="1"/>
    <xf numFmtId="0" fontId="22" fillId="6" borderId="49" xfId="0" applyFont="1" applyFill="1" applyBorder="1" applyAlignment="1" applyProtection="1">
      <alignment horizontal="center"/>
      <protection locked="0"/>
    </xf>
    <xf numFmtId="0" fontId="22" fillId="6" borderId="49" xfId="0" applyFont="1" applyFill="1" applyBorder="1" applyAlignment="1" applyProtection="1">
      <alignment wrapText="1"/>
      <protection locked="0"/>
    </xf>
    <xf numFmtId="164" fontId="22" fillId="6" borderId="49" xfId="0" applyNumberFormat="1" applyFont="1" applyFill="1" applyBorder="1" applyAlignment="1" applyProtection="1">
      <alignment horizontal="center"/>
      <protection locked="0"/>
    </xf>
    <xf numFmtId="44" fontId="22" fillId="0" borderId="49" xfId="3" applyFont="1" applyFill="1" applyBorder="1"/>
    <xf numFmtId="0" fontId="22" fillId="6" borderId="50" xfId="0" applyFont="1" applyFill="1" applyBorder="1" applyAlignment="1" applyProtection="1">
      <alignment horizontal="center"/>
      <protection locked="0"/>
    </xf>
    <xf numFmtId="0" fontId="22" fillId="6" borderId="50" xfId="0" applyFont="1" applyFill="1" applyBorder="1" applyAlignment="1" applyProtection="1">
      <alignment wrapText="1"/>
      <protection locked="0"/>
    </xf>
    <xf numFmtId="164" fontId="22" fillId="6" borderId="50" xfId="0" applyNumberFormat="1" applyFont="1" applyFill="1" applyBorder="1" applyAlignment="1" applyProtection="1">
      <alignment horizontal="center"/>
      <protection locked="0"/>
    </xf>
    <xf numFmtId="44" fontId="22" fillId="0" borderId="50" xfId="3" applyFont="1" applyFill="1" applyBorder="1"/>
    <xf numFmtId="0" fontId="22" fillId="5" borderId="47" xfId="0" applyFont="1" applyFill="1" applyBorder="1" applyAlignment="1">
      <alignment horizontal="center"/>
    </xf>
    <xf numFmtId="164" fontId="22" fillId="5" borderId="48" xfId="0" applyNumberFormat="1" applyFont="1" applyFill="1" applyBorder="1" applyAlignment="1">
      <alignment horizontal="center"/>
    </xf>
    <xf numFmtId="0" fontId="22" fillId="5" borderId="49" xfId="0" applyFont="1" applyFill="1" applyBorder="1" applyAlignment="1">
      <alignment horizontal="center"/>
    </xf>
    <xf numFmtId="164" fontId="22" fillId="5" borderId="51" xfId="0" applyNumberFormat="1" applyFont="1" applyFill="1" applyBorder="1" applyAlignment="1">
      <alignment horizontal="center"/>
    </xf>
    <xf numFmtId="0" fontId="22" fillId="5" borderId="50" xfId="0" applyFont="1" applyFill="1" applyBorder="1" applyAlignment="1">
      <alignment horizontal="center"/>
    </xf>
    <xf numFmtId="164" fontId="22" fillId="5" borderId="52" xfId="0" applyNumberFormat="1" applyFont="1" applyFill="1" applyBorder="1" applyAlignment="1">
      <alignment horizontal="center"/>
    </xf>
    <xf numFmtId="44" fontId="22" fillId="6" borderId="47" xfId="3" applyFont="1" applyFill="1" applyBorder="1" applyProtection="1">
      <protection locked="0"/>
    </xf>
    <xf numFmtId="44" fontId="22" fillId="6" borderId="49" xfId="3" applyFont="1" applyFill="1" applyBorder="1" applyProtection="1">
      <protection locked="0"/>
    </xf>
    <xf numFmtId="0" fontId="22" fillId="5" borderId="51" xfId="0" applyFont="1" applyFill="1" applyBorder="1" applyAlignment="1">
      <alignment horizontal="center"/>
    </xf>
    <xf numFmtId="44" fontId="22" fillId="6" borderId="50" xfId="3" applyFont="1" applyFill="1" applyBorder="1" applyProtection="1">
      <protection locked="0"/>
    </xf>
    <xf numFmtId="0" fontId="22" fillId="5" borderId="52" xfId="0" applyFont="1" applyFill="1" applyBorder="1" applyAlignment="1">
      <alignment horizontal="center"/>
    </xf>
    <xf numFmtId="0" fontId="22" fillId="5" borderId="53" xfId="0" applyFont="1" applyFill="1" applyBorder="1" applyAlignment="1">
      <alignment horizontal="center"/>
    </xf>
    <xf numFmtId="0" fontId="22" fillId="5" borderId="54" xfId="0" applyFont="1" applyFill="1" applyBorder="1" applyAlignment="1">
      <alignment horizontal="center"/>
    </xf>
    <xf numFmtId="0" fontId="22" fillId="5" borderId="55" xfId="0" applyFont="1" applyFill="1" applyBorder="1" applyAlignment="1">
      <alignment horizontal="center"/>
    </xf>
    <xf numFmtId="0" fontId="22" fillId="8" borderId="56" xfId="0" applyFont="1" applyFill="1" applyBorder="1"/>
    <xf numFmtId="0" fontId="22" fillId="0" borderId="5" xfId="0" applyFont="1" applyFill="1" applyBorder="1" applyAlignment="1">
      <alignment horizontal="centerContinuous"/>
    </xf>
    <xf numFmtId="0" fontId="20" fillId="0" borderId="7" xfId="0" applyFont="1" applyFill="1" applyBorder="1" applyAlignment="1">
      <alignment horizontal="center" vertical="top" wrapText="1"/>
    </xf>
    <xf numFmtId="44" fontId="22" fillId="0" borderId="57" xfId="3" applyFont="1" applyFill="1" applyBorder="1"/>
    <xf numFmtId="44" fontId="22" fillId="0" borderId="58" xfId="3" applyFont="1" applyFill="1" applyBorder="1"/>
    <xf numFmtId="44" fontId="22" fillId="0" borderId="59" xfId="3" applyFont="1" applyFill="1" applyBorder="1"/>
    <xf numFmtId="44" fontId="20" fillId="0" borderId="60" xfId="3" applyFont="1" applyFill="1" applyBorder="1"/>
    <xf numFmtId="0" fontId="21" fillId="5" borderId="61" xfId="0" applyFont="1" applyFill="1" applyBorder="1" applyAlignment="1">
      <alignment horizontal="center"/>
    </xf>
    <xf numFmtId="0" fontId="22" fillId="5" borderId="62" xfId="0" applyFont="1" applyFill="1" applyBorder="1" applyAlignment="1">
      <alignment horizontal="center"/>
    </xf>
    <xf numFmtId="0" fontId="22" fillId="5" borderId="63" xfId="0" applyFont="1" applyFill="1" applyBorder="1" applyAlignment="1">
      <alignment horizontal="center"/>
    </xf>
    <xf numFmtId="164" fontId="22" fillId="5" borderId="19" xfId="0" applyNumberFormat="1" applyFont="1" applyFill="1" applyBorder="1" applyAlignment="1">
      <alignment horizontal="center"/>
    </xf>
    <xf numFmtId="0" fontId="22" fillId="5" borderId="19" xfId="0" applyFont="1" applyFill="1" applyBorder="1"/>
    <xf numFmtId="0" fontId="22" fillId="5" borderId="19" xfId="0" applyFont="1" applyFill="1" applyBorder="1" applyAlignment="1">
      <alignment horizontal="center"/>
    </xf>
    <xf numFmtId="0" fontId="22" fillId="5" borderId="19" xfId="0" applyFont="1" applyFill="1" applyBorder="1" applyAlignment="1">
      <alignment wrapText="1"/>
    </xf>
    <xf numFmtId="0" fontId="21" fillId="5" borderId="3" xfId="0" applyFont="1" applyFill="1" applyBorder="1"/>
    <xf numFmtId="0" fontId="21" fillId="5" borderId="64" xfId="0" applyFont="1" applyFill="1" applyBorder="1"/>
    <xf numFmtId="0" fontId="43" fillId="5" borderId="16" xfId="0" applyFont="1" applyFill="1" applyBorder="1"/>
    <xf numFmtId="0" fontId="43" fillId="5" borderId="56" xfId="0" applyFont="1" applyFill="1" applyBorder="1"/>
    <xf numFmtId="0" fontId="22" fillId="5" borderId="16" xfId="0" applyFont="1" applyFill="1" applyBorder="1"/>
    <xf numFmtId="0" fontId="22" fillId="5" borderId="56" xfId="0" applyFont="1" applyFill="1" applyBorder="1"/>
    <xf numFmtId="164" fontId="22" fillId="5" borderId="64" xfId="0" applyNumberFormat="1" applyFont="1" applyFill="1" applyBorder="1"/>
    <xf numFmtId="0" fontId="22" fillId="5" borderId="65" xfId="0" applyFont="1" applyFill="1" applyBorder="1" applyAlignment="1">
      <alignment horizontal="center"/>
    </xf>
    <xf numFmtId="164" fontId="22" fillId="5" borderId="66" xfId="0" applyNumberFormat="1" applyFont="1" applyFill="1" applyBorder="1" applyAlignment="1">
      <alignment horizontal="center"/>
    </xf>
    <xf numFmtId="0" fontId="22" fillId="5" borderId="66" xfId="0" applyFont="1" applyFill="1" applyBorder="1"/>
    <xf numFmtId="0" fontId="22" fillId="5" borderId="66" xfId="0" applyFont="1" applyFill="1" applyBorder="1" applyAlignment="1">
      <alignment horizontal="center"/>
    </xf>
    <xf numFmtId="0" fontId="22" fillId="5" borderId="66" xfId="0" applyFont="1" applyFill="1" applyBorder="1" applyAlignment="1">
      <alignment wrapText="1"/>
    </xf>
    <xf numFmtId="164" fontId="22" fillId="5" borderId="67" xfId="0" applyNumberFormat="1" applyFont="1" applyFill="1" applyBorder="1"/>
    <xf numFmtId="0" fontId="22" fillId="5" borderId="60" xfId="0" applyFont="1" applyFill="1" applyBorder="1"/>
    <xf numFmtId="0" fontId="22" fillId="6" borderId="68" xfId="0" applyFont="1" applyFill="1" applyBorder="1" applyAlignment="1" applyProtection="1">
      <alignment horizontal="center"/>
      <protection locked="0"/>
    </xf>
    <xf numFmtId="0" fontId="22" fillId="6" borderId="69" xfId="0" applyFont="1" applyFill="1" applyBorder="1" applyAlignment="1" applyProtection="1">
      <alignment horizontal="center"/>
      <protection locked="0"/>
    </xf>
    <xf numFmtId="0" fontId="22" fillId="6" borderId="70" xfId="0" applyFont="1" applyFill="1" applyBorder="1" applyAlignment="1" applyProtection="1">
      <alignment horizontal="center"/>
      <protection locked="0"/>
    </xf>
    <xf numFmtId="44" fontId="19" fillId="0" borderId="46" xfId="3" applyFont="1" applyBorder="1"/>
    <xf numFmtId="44" fontId="19" fillId="0" borderId="48" xfId="3" applyFont="1" applyBorder="1"/>
    <xf numFmtId="0" fontId="0" fillId="0" borderId="16" xfId="0" applyFont="1" applyBorder="1" applyProtection="1">
      <protection hidden="1"/>
    </xf>
    <xf numFmtId="0" fontId="0" fillId="0" borderId="39" xfId="0" applyFont="1" applyBorder="1" applyProtection="1">
      <protection hidden="1"/>
    </xf>
    <xf numFmtId="0" fontId="36" fillId="0" borderId="16" xfId="0" applyFont="1" applyFill="1" applyBorder="1" applyAlignment="1" applyProtection="1">
      <alignment horizontal="right"/>
      <protection hidden="1"/>
    </xf>
    <xf numFmtId="0" fontId="36" fillId="0" borderId="0" xfId="0" applyFont="1" applyFill="1" applyBorder="1" applyAlignment="1" applyProtection="1">
      <alignment horizontal="right"/>
      <protection hidden="1"/>
    </xf>
    <xf numFmtId="0" fontId="0" fillId="0" borderId="20" xfId="0" applyFont="1" applyFill="1" applyBorder="1" applyProtection="1">
      <protection hidden="1"/>
    </xf>
    <xf numFmtId="0" fontId="37" fillId="6" borderId="10" xfId="6" applyFont="1" applyFill="1" applyBorder="1" applyAlignment="1" applyProtection="1">
      <alignment horizontal="center" vertical="center"/>
      <protection locked="0"/>
    </xf>
    <xf numFmtId="0" fontId="17" fillId="0" borderId="0" xfId="5" applyAlignment="1" applyProtection="1"/>
    <xf numFmtId="44" fontId="19" fillId="0" borderId="18" xfId="3" applyFont="1" applyFill="1" applyBorder="1" applyProtection="1"/>
    <xf numFmtId="44" fontId="19" fillId="8" borderId="71" xfId="3" applyFont="1" applyFill="1" applyBorder="1" applyProtection="1"/>
    <xf numFmtId="0" fontId="19" fillId="8" borderId="19" xfId="0" applyFont="1" applyFill="1" applyBorder="1" applyAlignment="1" applyProtection="1">
      <alignment horizontal="center"/>
    </xf>
    <xf numFmtId="0" fontId="19" fillId="8" borderId="19" xfId="0" applyFont="1" applyFill="1" applyBorder="1" applyProtection="1"/>
    <xf numFmtId="44" fontId="19" fillId="8" borderId="72" xfId="3" applyFont="1" applyFill="1" applyBorder="1" applyProtection="1"/>
    <xf numFmtId="0" fontId="19" fillId="8" borderId="73" xfId="0" applyFont="1" applyFill="1" applyBorder="1" applyAlignment="1" applyProtection="1">
      <alignment horizontal="center"/>
    </xf>
    <xf numFmtId="0" fontId="19" fillId="8" borderId="73" xfId="0" applyFont="1" applyFill="1" applyBorder="1" applyProtection="1"/>
    <xf numFmtId="44" fontId="19" fillId="8" borderId="73" xfId="3" applyFont="1" applyFill="1" applyBorder="1" applyProtection="1"/>
    <xf numFmtId="0" fontId="20" fillId="0" borderId="74" xfId="0" applyFont="1" applyBorder="1" applyProtection="1"/>
    <xf numFmtId="44" fontId="20" fillId="0" borderId="42" xfId="3" applyFont="1" applyBorder="1" applyProtection="1"/>
    <xf numFmtId="44" fontId="20" fillId="0" borderId="41" xfId="0" applyNumberFormat="1" applyFont="1" applyFill="1" applyBorder="1" applyProtection="1"/>
    <xf numFmtId="0" fontId="19" fillId="0" borderId="75" xfId="0" applyFont="1" applyBorder="1" applyProtection="1"/>
    <xf numFmtId="44" fontId="20" fillId="0" borderId="10" xfId="3" applyFont="1" applyBorder="1" applyProtection="1"/>
    <xf numFmtId="0" fontId="19" fillId="8" borderId="20" xfId="0" applyFont="1" applyFill="1" applyBorder="1" applyProtection="1"/>
    <xf numFmtId="0" fontId="19" fillId="0" borderId="76" xfId="0" applyFont="1" applyBorder="1" applyProtection="1"/>
    <xf numFmtId="44" fontId="20" fillId="0" borderId="2" xfId="0" applyNumberFormat="1" applyFont="1" applyBorder="1" applyProtection="1"/>
    <xf numFmtId="0" fontId="19" fillId="8" borderId="1" xfId="0" applyFont="1" applyFill="1" applyBorder="1" applyProtection="1"/>
    <xf numFmtId="0" fontId="19" fillId="0" borderId="77" xfId="0" applyFont="1" applyBorder="1" applyProtection="1"/>
    <xf numFmtId="0" fontId="19" fillId="8" borderId="21" xfId="0" applyFont="1" applyFill="1" applyBorder="1" applyProtection="1"/>
    <xf numFmtId="0" fontId="19" fillId="0" borderId="0" xfId="0" applyFont="1" applyProtection="1"/>
    <xf numFmtId="0" fontId="19" fillId="8" borderId="78" xfId="0" applyFont="1" applyFill="1" applyBorder="1" applyProtection="1"/>
    <xf numFmtId="44" fontId="20" fillId="0" borderId="0" xfId="3" applyFont="1" applyProtection="1"/>
    <xf numFmtId="0" fontId="19" fillId="8" borderId="79" xfId="0" applyFont="1" applyFill="1" applyBorder="1" applyProtection="1"/>
    <xf numFmtId="0" fontId="20" fillId="0" borderId="8" xfId="0" applyFont="1" applyBorder="1" applyAlignment="1" applyProtection="1">
      <alignment horizontal="center"/>
    </xf>
    <xf numFmtId="0" fontId="20" fillId="0" borderId="6" xfId="0" applyFont="1" applyBorder="1" applyAlignment="1" applyProtection="1">
      <alignment horizontal="center"/>
    </xf>
    <xf numFmtId="0" fontId="19" fillId="0" borderId="8" xfId="0" applyFont="1" applyBorder="1" applyProtection="1"/>
    <xf numFmtId="0" fontId="19" fillId="0" borderId="8" xfId="0" applyFont="1" applyBorder="1" applyAlignment="1" applyProtection="1">
      <alignment wrapText="1"/>
    </xf>
    <xf numFmtId="0" fontId="19" fillId="0" borderId="27" xfId="0" applyFont="1" applyBorder="1" applyProtection="1"/>
    <xf numFmtId="0" fontId="20" fillId="0" borderId="71" xfId="0" applyFont="1" applyBorder="1" applyAlignment="1" applyProtection="1">
      <alignment horizontal="center"/>
    </xf>
    <xf numFmtId="0" fontId="19" fillId="0" borderId="80" xfId="0" applyFont="1" applyBorder="1" applyProtection="1"/>
    <xf numFmtId="0" fontId="20" fillId="0" borderId="81" xfId="0" applyFont="1" applyBorder="1" applyAlignment="1" applyProtection="1">
      <alignment horizontal="center"/>
    </xf>
    <xf numFmtId="0" fontId="19" fillId="0" borderId="8" xfId="0" applyFont="1" applyBorder="1" applyAlignment="1" applyProtection="1">
      <alignment horizontal="right"/>
    </xf>
    <xf numFmtId="0" fontId="19" fillId="0" borderId="6" xfId="0" applyFont="1" applyBorder="1" applyProtection="1"/>
    <xf numFmtId="0" fontId="19" fillId="0" borderId="6" xfId="0" applyFont="1" applyBorder="1" applyAlignment="1" applyProtection="1">
      <alignment horizontal="right"/>
    </xf>
    <xf numFmtId="0" fontId="19" fillId="8" borderId="71" xfId="0" applyFont="1" applyFill="1" applyBorder="1" applyProtection="1"/>
    <xf numFmtId="0" fontId="19" fillId="8" borderId="72" xfId="0" applyFont="1" applyFill="1" applyBorder="1" applyProtection="1"/>
    <xf numFmtId="0" fontId="19" fillId="8" borderId="80" xfId="0" applyFont="1" applyFill="1" applyBorder="1" applyProtection="1"/>
    <xf numFmtId="0" fontId="19" fillId="8" borderId="14" xfId="0" applyFont="1" applyFill="1" applyBorder="1" applyProtection="1"/>
    <xf numFmtId="0" fontId="19" fillId="8" borderId="82" xfId="0" applyFont="1" applyFill="1" applyBorder="1" applyProtection="1"/>
    <xf numFmtId="0" fontId="19" fillId="0" borderId="83" xfId="0" applyFont="1" applyBorder="1" applyAlignment="1" applyProtection="1">
      <alignment horizontal="center"/>
    </xf>
    <xf numFmtId="44" fontId="19" fillId="0" borderId="83" xfId="3" applyFont="1" applyBorder="1" applyProtection="1"/>
    <xf numFmtId="0" fontId="19" fillId="8" borderId="84" xfId="0" applyFont="1" applyFill="1" applyBorder="1" applyProtection="1"/>
    <xf numFmtId="0" fontId="20" fillId="0" borderId="0" xfId="0" applyFont="1" applyAlignment="1" applyProtection="1">
      <alignment horizontal="right"/>
    </xf>
    <xf numFmtId="0" fontId="20" fillId="9" borderId="41" xfId="0" applyFont="1" applyFill="1" applyBorder="1" applyAlignment="1" applyProtection="1">
      <alignment horizontal="center"/>
    </xf>
    <xf numFmtId="0" fontId="19" fillId="0" borderId="0" xfId="0" applyFont="1" applyAlignment="1" applyProtection="1">
      <alignment horizontal="center"/>
    </xf>
    <xf numFmtId="0" fontId="20" fillId="0" borderId="0" xfId="0" applyFont="1" applyAlignment="1" applyProtection="1">
      <alignment horizontal="left"/>
    </xf>
    <xf numFmtId="0" fontId="20" fillId="0" borderId="0" xfId="0" applyFont="1" applyAlignment="1" applyProtection="1">
      <alignment horizontal="center"/>
    </xf>
    <xf numFmtId="0" fontId="44" fillId="0" borderId="0" xfId="0" applyFont="1" applyAlignment="1" applyProtection="1">
      <alignment horizontal="left"/>
    </xf>
    <xf numFmtId="0" fontId="20" fillId="0" borderId="15" xfId="0" applyFont="1" applyBorder="1" applyProtection="1"/>
    <xf numFmtId="0" fontId="26" fillId="0" borderId="11" xfId="0" applyFont="1" applyBorder="1" applyProtection="1"/>
    <xf numFmtId="0" fontId="20" fillId="0" borderId="85" xfId="0" applyFont="1" applyBorder="1" applyProtection="1"/>
    <xf numFmtId="0" fontId="19" fillId="0" borderId="0" xfId="0" applyFont="1" applyAlignment="1" applyProtection="1">
      <alignment horizontal="left"/>
    </xf>
    <xf numFmtId="0" fontId="19" fillId="0" borderId="0" xfId="0" applyFont="1" applyAlignment="1" applyProtection="1">
      <alignment horizontal="right"/>
    </xf>
    <xf numFmtId="0" fontId="19" fillId="0" borderId="0" xfId="0" applyFont="1" applyAlignment="1" applyProtection="1">
      <alignment horizontal="center" vertical="center"/>
    </xf>
    <xf numFmtId="0" fontId="19" fillId="0" borderId="31" xfId="0" applyFont="1" applyBorder="1" applyAlignment="1" applyProtection="1">
      <alignment horizontal="left" vertical="center"/>
    </xf>
    <xf numFmtId="0" fontId="26" fillId="0" borderId="0" xfId="0" applyFont="1" applyBorder="1" applyProtection="1"/>
    <xf numFmtId="0" fontId="19" fillId="0" borderId="0" xfId="0" applyFont="1" applyAlignment="1" applyProtection="1"/>
    <xf numFmtId="0" fontId="19" fillId="0" borderId="32" xfId="0" applyFont="1" applyBorder="1" applyAlignment="1" applyProtection="1">
      <alignment horizontal="left" vertical="center"/>
    </xf>
    <xf numFmtId="0" fontId="19" fillId="0" borderId="0" xfId="0" applyFont="1" applyAlignment="1" applyProtection="1">
      <alignment vertical="center"/>
    </xf>
    <xf numFmtId="0" fontId="25" fillId="0" borderId="0" xfId="0" applyFont="1" applyBorder="1" applyAlignment="1" applyProtection="1">
      <alignment horizontal="center"/>
    </xf>
    <xf numFmtId="0" fontId="26" fillId="0" borderId="0" xfId="0" applyFont="1" applyBorder="1" applyAlignment="1" applyProtection="1">
      <alignment horizontal="left"/>
    </xf>
    <xf numFmtId="0" fontId="19" fillId="0" borderId="0" xfId="0" applyFont="1" applyAlignment="1" applyProtection="1">
      <alignment horizontal="centerContinuous"/>
    </xf>
    <xf numFmtId="0" fontId="19" fillId="0" borderId="32" xfId="0" applyFont="1" applyBorder="1" applyAlignment="1" applyProtection="1">
      <alignment horizontal="left" vertical="center" wrapText="1"/>
    </xf>
    <xf numFmtId="0" fontId="20" fillId="0" borderId="80" xfId="0" applyFont="1" applyFill="1" applyBorder="1" applyAlignment="1" applyProtection="1">
      <alignment horizontal="center" vertical="center"/>
    </xf>
    <xf numFmtId="0" fontId="20" fillId="0" borderId="83" xfId="0" applyFont="1" applyBorder="1" applyAlignment="1" applyProtection="1">
      <alignment horizontal="center" vertical="top" wrapText="1"/>
    </xf>
    <xf numFmtId="0" fontId="20" fillId="0" borderId="86" xfId="0" applyFont="1" applyFill="1" applyBorder="1" applyAlignment="1" applyProtection="1">
      <alignment horizontal="center" vertical="top" wrapText="1"/>
    </xf>
    <xf numFmtId="44" fontId="19" fillId="5" borderId="9" xfId="0" applyNumberFormat="1" applyFont="1" applyFill="1" applyBorder="1" applyProtection="1"/>
    <xf numFmtId="44" fontId="19" fillId="0" borderId="0" xfId="0" applyNumberFormat="1" applyFont="1" applyBorder="1" applyProtection="1"/>
    <xf numFmtId="0" fontId="19" fillId="8" borderId="87" xfId="0" applyFont="1" applyFill="1" applyBorder="1" applyProtection="1"/>
    <xf numFmtId="0" fontId="19" fillId="8" borderId="0" xfId="0" applyFont="1" applyFill="1" applyProtection="1"/>
    <xf numFmtId="0" fontId="19" fillId="8" borderId="0" xfId="0" applyFont="1" applyFill="1" applyAlignment="1" applyProtection="1">
      <alignment horizontal="center"/>
    </xf>
    <xf numFmtId="0" fontId="19" fillId="8" borderId="88" xfId="0" applyFont="1" applyFill="1" applyBorder="1" applyProtection="1"/>
    <xf numFmtId="0" fontId="20" fillId="0" borderId="0" xfId="0" applyFont="1" applyProtection="1"/>
    <xf numFmtId="0" fontId="19" fillId="0" borderId="32" xfId="0" applyFont="1" applyFill="1" applyBorder="1" applyAlignment="1" applyProtection="1">
      <alignment horizontal="left" vertical="center"/>
    </xf>
    <xf numFmtId="0" fontId="26" fillId="0" borderId="0" xfId="0" applyFont="1" applyProtection="1"/>
    <xf numFmtId="0" fontId="26" fillId="0" borderId="20" xfId="0" applyFont="1" applyFill="1" applyBorder="1" applyProtection="1"/>
    <xf numFmtId="0" fontId="26" fillId="0" borderId="23" xfId="0" applyFont="1" applyBorder="1" applyProtection="1"/>
    <xf numFmtId="0" fontId="19" fillId="0" borderId="0" xfId="0" applyFont="1" applyFill="1" applyProtection="1"/>
    <xf numFmtId="0" fontId="19" fillId="0" borderId="8" xfId="0" applyFont="1" applyBorder="1" applyAlignment="1" applyProtection="1"/>
    <xf numFmtId="0" fontId="20" fillId="0" borderId="8" xfId="0" applyFont="1" applyFill="1" applyBorder="1" applyAlignment="1" applyProtection="1"/>
    <xf numFmtId="44" fontId="20" fillId="8" borderId="24" xfId="3" applyFont="1" applyFill="1" applyBorder="1" applyProtection="1"/>
    <xf numFmtId="44" fontId="20" fillId="8" borderId="21" xfId="3" applyFont="1" applyFill="1" applyBorder="1" applyProtection="1"/>
    <xf numFmtId="0" fontId="20" fillId="8" borderId="21" xfId="0" applyFont="1" applyFill="1" applyBorder="1" applyAlignment="1" applyProtection="1">
      <alignment horizontal="center"/>
    </xf>
    <xf numFmtId="0" fontId="20" fillId="8" borderId="21" xfId="0" applyFont="1" applyFill="1" applyBorder="1" applyProtection="1"/>
    <xf numFmtId="44" fontId="20" fillId="8" borderId="22" xfId="3" applyFont="1" applyFill="1" applyBorder="1" applyProtection="1"/>
    <xf numFmtId="44" fontId="19" fillId="0" borderId="9" xfId="3" applyFont="1" applyFill="1" applyBorder="1" applyProtection="1"/>
    <xf numFmtId="44" fontId="19" fillId="8" borderId="0" xfId="3" applyFont="1" applyFill="1" applyProtection="1"/>
    <xf numFmtId="44" fontId="19" fillId="8" borderId="0" xfId="3" applyFont="1" applyFill="1" applyAlignment="1" applyProtection="1">
      <alignment horizontal="center"/>
    </xf>
    <xf numFmtId="0" fontId="20" fillId="0" borderId="8" xfId="0" applyFont="1" applyBorder="1" applyAlignment="1" applyProtection="1">
      <alignment wrapText="1"/>
    </xf>
    <xf numFmtId="0" fontId="31" fillId="0" borderId="0" xfId="0" applyFont="1" applyProtection="1"/>
    <xf numFmtId="0" fontId="19" fillId="8" borderId="89" xfId="0" applyFont="1" applyFill="1" applyBorder="1" applyProtection="1"/>
    <xf numFmtId="0" fontId="19" fillId="0" borderId="13" xfId="0" applyFont="1" applyFill="1" applyBorder="1" applyProtection="1"/>
    <xf numFmtId="44" fontId="19" fillId="8" borderId="90" xfId="3" applyFont="1" applyFill="1" applyBorder="1" applyProtection="1"/>
    <xf numFmtId="44" fontId="19" fillId="8" borderId="91" xfId="3" applyFont="1" applyFill="1" applyBorder="1" applyProtection="1"/>
    <xf numFmtId="0" fontId="19" fillId="0" borderId="89" xfId="0" applyFont="1" applyFill="1" applyBorder="1" applyProtection="1"/>
    <xf numFmtId="0" fontId="20" fillId="0" borderId="16" xfId="0" applyFont="1" applyFill="1" applyBorder="1" applyProtection="1"/>
    <xf numFmtId="44" fontId="19" fillId="5" borderId="23" xfId="0" applyNumberFormat="1" applyFont="1" applyFill="1" applyBorder="1" applyProtection="1"/>
    <xf numFmtId="0" fontId="0" fillId="0" borderId="3" xfId="0" applyBorder="1" applyProtection="1"/>
    <xf numFmtId="0" fontId="19" fillId="0" borderId="16" xfId="0" applyFont="1" applyBorder="1" applyProtection="1"/>
    <xf numFmtId="0" fontId="26" fillId="0" borderId="0" xfId="0" applyFont="1" applyFill="1" applyProtection="1"/>
    <xf numFmtId="0" fontId="19" fillId="0" borderId="8" xfId="0" applyFont="1" applyFill="1" applyBorder="1" applyProtection="1"/>
    <xf numFmtId="44" fontId="20" fillId="0" borderId="24" xfId="3" applyFont="1" applyFill="1" applyBorder="1" applyProtection="1"/>
    <xf numFmtId="0" fontId="20" fillId="8" borderId="3" xfId="0" applyFont="1" applyFill="1" applyBorder="1" applyAlignment="1" applyProtection="1">
      <alignment horizontal="center"/>
    </xf>
    <xf numFmtId="0" fontId="20" fillId="8" borderId="39" xfId="0" applyFont="1" applyFill="1" applyBorder="1" applyProtection="1"/>
    <xf numFmtId="44" fontId="20" fillId="0" borderId="36" xfId="3" applyFont="1" applyFill="1" applyBorder="1" applyProtection="1"/>
    <xf numFmtId="0" fontId="31" fillId="0" borderId="0" xfId="0" applyFont="1" applyFill="1" applyProtection="1"/>
    <xf numFmtId="0" fontId="19" fillId="0" borderId="13" xfId="0" applyFont="1" applyBorder="1" applyProtection="1"/>
    <xf numFmtId="0" fontId="19" fillId="0" borderId="17" xfId="0" applyFont="1" applyBorder="1" applyProtection="1"/>
    <xf numFmtId="0" fontId="20" fillId="0" borderId="80" xfId="0" applyFont="1" applyBorder="1" applyProtection="1"/>
    <xf numFmtId="44" fontId="20" fillId="0" borderId="83" xfId="3" applyFont="1" applyFill="1" applyBorder="1" applyProtection="1"/>
    <xf numFmtId="44" fontId="20" fillId="0" borderId="81" xfId="3" applyFont="1" applyFill="1" applyBorder="1" applyProtection="1"/>
    <xf numFmtId="0" fontId="20" fillId="8" borderId="89" xfId="0" applyFont="1" applyFill="1" applyBorder="1" applyAlignment="1" applyProtection="1">
      <alignment horizontal="center"/>
    </xf>
    <xf numFmtId="0" fontId="20" fillId="8" borderId="88" xfId="0" applyFont="1" applyFill="1" applyBorder="1" applyProtection="1"/>
    <xf numFmtId="44" fontId="20" fillId="0" borderId="82" xfId="3" applyFont="1" applyBorder="1" applyProtection="1"/>
    <xf numFmtId="44" fontId="20" fillId="5" borderId="86" xfId="0" applyNumberFormat="1" applyFont="1" applyFill="1" applyBorder="1" applyProtection="1"/>
    <xf numFmtId="0" fontId="19" fillId="0" borderId="92" xfId="0" applyFont="1" applyFill="1" applyBorder="1" applyProtection="1"/>
    <xf numFmtId="0" fontId="19" fillId="0" borderId="93" xfId="0" applyFont="1" applyFill="1" applyBorder="1" applyProtection="1"/>
    <xf numFmtId="0" fontId="19" fillId="0" borderId="93" xfId="0" applyFont="1" applyFill="1" applyBorder="1" applyAlignment="1" applyProtection="1">
      <alignment horizontal="center"/>
    </xf>
    <xf numFmtId="0" fontId="19" fillId="0" borderId="94" xfId="0" applyFont="1" applyFill="1" applyBorder="1" applyProtection="1"/>
    <xf numFmtId="0" fontId="0" fillId="0" borderId="0" xfId="0" applyProtection="1"/>
    <xf numFmtId="9" fontId="19" fillId="6" borderId="0" xfId="7" applyFont="1" applyFill="1" applyProtection="1">
      <protection locked="0"/>
    </xf>
    <xf numFmtId="0" fontId="22" fillId="6" borderId="95" xfId="0" applyFont="1" applyFill="1" applyBorder="1" applyAlignment="1" applyProtection="1">
      <alignment horizontal="center"/>
      <protection locked="0"/>
    </xf>
    <xf numFmtId="0" fontId="22" fillId="6" borderId="95" xfId="0" applyFont="1" applyFill="1" applyBorder="1" applyAlignment="1" applyProtection="1">
      <alignment wrapText="1"/>
      <protection locked="0"/>
    </xf>
    <xf numFmtId="164" fontId="22" fillId="6" borderId="95" xfId="0" applyNumberFormat="1" applyFont="1" applyFill="1" applyBorder="1" applyAlignment="1" applyProtection="1">
      <alignment horizontal="center"/>
      <protection locked="0"/>
    </xf>
    <xf numFmtId="44" fontId="22" fillId="6" borderId="96" xfId="3" applyFont="1" applyFill="1" applyBorder="1" applyProtection="1">
      <protection locked="0"/>
    </xf>
    <xf numFmtId="0" fontId="22" fillId="5" borderId="97" xfId="0" applyFont="1" applyFill="1" applyBorder="1" applyAlignment="1">
      <alignment horizontal="center"/>
    </xf>
    <xf numFmtId="0" fontId="22" fillId="5" borderId="95" xfId="0" applyFont="1" applyFill="1" applyBorder="1" applyAlignment="1">
      <alignment horizontal="center"/>
    </xf>
    <xf numFmtId="164" fontId="22" fillId="5" borderId="96" xfId="0" applyNumberFormat="1" applyFont="1" applyFill="1" applyBorder="1" applyAlignment="1">
      <alignment horizontal="center"/>
    </xf>
    <xf numFmtId="0" fontId="0" fillId="0" borderId="0" xfId="0" applyFont="1" applyBorder="1"/>
    <xf numFmtId="0" fontId="22" fillId="8" borderId="0" xfId="0" applyFont="1" applyFill="1" applyBorder="1" applyAlignment="1">
      <alignment horizontal="centerContinuous"/>
    </xf>
    <xf numFmtId="164" fontId="45" fillId="8" borderId="0" xfId="0" applyNumberFormat="1" applyFont="1" applyFill="1" applyBorder="1" applyAlignment="1">
      <alignment horizontal="centerContinuous"/>
    </xf>
    <xf numFmtId="0" fontId="45" fillId="8" borderId="0" xfId="0" applyFont="1" applyFill="1" applyBorder="1" applyAlignment="1">
      <alignment horizontal="centerContinuous"/>
    </xf>
    <xf numFmtId="9" fontId="46" fillId="8" borderId="0" xfId="7" applyFont="1" applyFill="1" applyBorder="1" applyAlignment="1">
      <alignment horizontal="center"/>
    </xf>
    <xf numFmtId="44" fontId="46" fillId="8" borderId="0" xfId="3" applyFont="1" applyFill="1" applyBorder="1" applyAlignment="1">
      <alignment horizontal="center"/>
    </xf>
    <xf numFmtId="44" fontId="15" fillId="0" borderId="0" xfId="3" applyFont="1"/>
    <xf numFmtId="37" fontId="19" fillId="6" borderId="0" xfId="3" applyNumberFormat="1" applyFont="1" applyFill="1" applyAlignment="1" applyProtection="1">
      <alignment horizontal="center" vertical="center"/>
      <protection locked="0"/>
    </xf>
    <xf numFmtId="44" fontId="19" fillId="0" borderId="0" xfId="3" applyFont="1" applyFill="1" applyBorder="1" applyProtection="1"/>
    <xf numFmtId="0" fontId="19" fillId="0" borderId="0" xfId="0" applyFont="1" applyAlignment="1" applyProtection="1">
      <alignment horizontal="right"/>
    </xf>
    <xf numFmtId="0" fontId="19" fillId="7" borderId="0" xfId="0" applyFont="1" applyFill="1" applyBorder="1" applyAlignment="1" applyProtection="1">
      <alignment horizontal="center"/>
      <protection locked="0"/>
    </xf>
    <xf numFmtId="0" fontId="19" fillId="7" borderId="0" xfId="0" applyFont="1" applyFill="1" applyBorder="1" applyProtection="1">
      <protection locked="0"/>
    </xf>
    <xf numFmtId="44" fontId="19" fillId="0" borderId="24" xfId="3" applyFont="1" applyFill="1" applyBorder="1" applyProtection="1"/>
    <xf numFmtId="44" fontId="19" fillId="0" borderId="0" xfId="3" applyFont="1" applyFill="1" applyProtection="1"/>
    <xf numFmtId="44" fontId="19" fillId="8" borderId="19" xfId="3" applyFont="1" applyFill="1" applyBorder="1" applyProtection="1"/>
    <xf numFmtId="44" fontId="19" fillId="8" borderId="23" xfId="3" applyFont="1" applyFill="1" applyBorder="1" applyProtection="1"/>
    <xf numFmtId="0" fontId="19" fillId="0" borderId="98" xfId="0" applyFont="1" applyBorder="1" applyProtection="1"/>
    <xf numFmtId="0" fontId="19" fillId="0" borderId="99" xfId="0" applyFont="1" applyBorder="1" applyProtection="1"/>
    <xf numFmtId="0" fontId="19" fillId="0" borderId="99" xfId="0" applyFont="1" applyFill="1" applyBorder="1" applyProtection="1"/>
    <xf numFmtId="0" fontId="19" fillId="0" borderId="100" xfId="0" applyFont="1" applyFill="1" applyBorder="1" applyProtection="1"/>
    <xf numFmtId="0" fontId="19" fillId="0" borderId="101" xfId="0" applyFont="1" applyBorder="1" applyProtection="1"/>
    <xf numFmtId="0" fontId="19" fillId="0" borderId="0" xfId="0" applyFont="1" applyBorder="1" applyAlignment="1" applyProtection="1">
      <alignment horizontal="left"/>
    </xf>
    <xf numFmtId="0" fontId="19" fillId="0" borderId="0" xfId="0" applyFont="1" applyFill="1" applyBorder="1" applyProtection="1"/>
    <xf numFmtId="0" fontId="0" fillId="0" borderId="16" xfId="0" applyBorder="1"/>
    <xf numFmtId="0" fontId="0" fillId="0" borderId="16" xfId="0" applyFont="1" applyBorder="1"/>
    <xf numFmtId="0" fontId="19" fillId="0" borderId="49" xfId="0" applyFont="1" applyBorder="1" applyProtection="1"/>
    <xf numFmtId="0" fontId="19" fillId="0" borderId="49" xfId="0" applyFont="1" applyBorder="1" applyAlignment="1" applyProtection="1">
      <alignment wrapText="1"/>
    </xf>
    <xf numFmtId="0" fontId="19" fillId="0" borderId="49" xfId="0" applyFont="1" applyBorder="1" applyAlignment="1" applyProtection="1"/>
    <xf numFmtId="0" fontId="19" fillId="0" borderId="49" xfId="0" applyFont="1" applyFill="1" applyBorder="1" applyProtection="1"/>
    <xf numFmtId="14" fontId="20" fillId="9" borderId="10" xfId="0" applyNumberFormat="1" applyFont="1" applyFill="1" applyBorder="1" applyAlignment="1" applyProtection="1">
      <alignment horizontal="center"/>
    </xf>
    <xf numFmtId="0" fontId="20" fillId="6" borderId="16" xfId="0" applyFont="1" applyFill="1" applyBorder="1" applyAlignment="1" applyProtection="1">
      <alignment vertical="top" wrapText="1"/>
      <protection locked="0"/>
    </xf>
    <xf numFmtId="0" fontId="20" fillId="6" borderId="0" xfId="0" applyFont="1" applyFill="1" applyBorder="1" applyAlignment="1" applyProtection="1">
      <alignment vertical="top" wrapText="1"/>
      <protection locked="0"/>
    </xf>
    <xf numFmtId="0" fontId="20" fillId="6" borderId="0" xfId="0" applyFont="1" applyFill="1" applyBorder="1" applyAlignment="1" applyProtection="1">
      <alignment horizontal="center" vertical="top" wrapText="1"/>
      <protection locked="0"/>
    </xf>
    <xf numFmtId="0" fontId="20" fillId="6" borderId="20" xfId="0" applyFont="1" applyFill="1" applyBorder="1" applyAlignment="1" applyProtection="1">
      <alignment vertical="top" wrapText="1"/>
      <protection locked="0"/>
    </xf>
    <xf numFmtId="0" fontId="20" fillId="6" borderId="17" xfId="0" applyFont="1" applyFill="1" applyBorder="1" applyAlignment="1" applyProtection="1">
      <alignment vertical="top" wrapText="1"/>
      <protection locked="0"/>
    </xf>
    <xf numFmtId="0" fontId="20" fillId="6" borderId="18" xfId="0" applyFont="1" applyFill="1" applyBorder="1" applyAlignment="1" applyProtection="1">
      <alignment vertical="top" wrapText="1"/>
      <protection locked="0"/>
    </xf>
    <xf numFmtId="0" fontId="20" fillId="6" borderId="18" xfId="0" applyFont="1" applyFill="1" applyBorder="1" applyAlignment="1" applyProtection="1">
      <alignment horizontal="center" vertical="top" wrapText="1"/>
      <protection locked="0"/>
    </xf>
    <xf numFmtId="0" fontId="20" fillId="6" borderId="23" xfId="0" applyFont="1" applyFill="1" applyBorder="1" applyAlignment="1" applyProtection="1">
      <alignment vertical="top" wrapText="1"/>
      <protection locked="0"/>
    </xf>
    <xf numFmtId="0" fontId="20" fillId="0" borderId="24" xfId="0" applyFont="1" applyBorder="1" applyAlignment="1" applyProtection="1"/>
    <xf numFmtId="0" fontId="20" fillId="0" borderId="21" xfId="0" applyFont="1" applyBorder="1" applyAlignment="1" applyProtection="1"/>
    <xf numFmtId="0" fontId="20" fillId="0" borderId="22" xfId="0" applyFont="1" applyBorder="1" applyAlignment="1" applyProtection="1"/>
    <xf numFmtId="0" fontId="20" fillId="0" borderId="17" xfId="0" applyFont="1" applyBorder="1" applyAlignment="1" applyProtection="1">
      <alignment horizontal="center"/>
    </xf>
    <xf numFmtId="0" fontId="19" fillId="0" borderId="93" xfId="0" applyFont="1" applyBorder="1" applyAlignment="1" applyProtection="1">
      <alignment horizontal="center"/>
    </xf>
    <xf numFmtId="0" fontId="19" fillId="0" borderId="94" xfId="0" applyFont="1" applyBorder="1" applyAlignment="1" applyProtection="1">
      <alignment horizontal="center"/>
    </xf>
    <xf numFmtId="0" fontId="20" fillId="0" borderId="92" xfId="0" applyFont="1" applyBorder="1" applyAlignment="1" applyProtection="1">
      <alignment horizontal="center"/>
    </xf>
    <xf numFmtId="0" fontId="19" fillId="0" borderId="93" xfId="0" applyFont="1" applyBorder="1" applyAlignment="1" applyProtection="1"/>
    <xf numFmtId="0" fontId="19" fillId="0" borderId="94" xfId="0" applyFont="1" applyBorder="1" applyAlignment="1" applyProtection="1"/>
    <xf numFmtId="0" fontId="20" fillId="0" borderId="92" xfId="0" applyFont="1" applyBorder="1" applyAlignment="1" applyProtection="1">
      <alignment horizontal="center" vertical="top"/>
    </xf>
    <xf numFmtId="0" fontId="19" fillId="0" borderId="93" xfId="0" applyFont="1" applyBorder="1" applyAlignment="1" applyProtection="1">
      <alignment horizontal="center" vertical="top"/>
    </xf>
    <xf numFmtId="0" fontId="19" fillId="0" borderId="94" xfId="0" applyFont="1" applyBorder="1" applyAlignment="1" applyProtection="1">
      <alignment horizontal="center" vertical="top"/>
    </xf>
    <xf numFmtId="0" fontId="20" fillId="0" borderId="24" xfId="0" applyFont="1" applyBorder="1" applyAlignment="1" applyProtection="1">
      <alignment horizontal="center"/>
    </xf>
    <xf numFmtId="0" fontId="20" fillId="0" borderId="21" xfId="0" applyFont="1" applyBorder="1" applyAlignment="1" applyProtection="1">
      <alignment horizontal="center"/>
    </xf>
    <xf numFmtId="0" fontId="20" fillId="0" borderId="22" xfId="0" applyFont="1" applyBorder="1" applyAlignment="1" applyProtection="1">
      <alignment horizontal="center"/>
    </xf>
    <xf numFmtId="0" fontId="19" fillId="0" borderId="93" xfId="0" applyFont="1" applyFill="1" applyBorder="1" applyAlignment="1" applyProtection="1"/>
    <xf numFmtId="0" fontId="19" fillId="0" borderId="94" xfId="0" applyFont="1" applyFill="1" applyBorder="1" applyAlignment="1" applyProtection="1"/>
    <xf numFmtId="0" fontId="20" fillId="0" borderId="14" xfId="0" applyFont="1" applyBorder="1" applyAlignment="1" applyProtection="1"/>
    <xf numFmtId="0" fontId="20" fillId="0" borderId="88" xfId="0" applyFont="1" applyBorder="1" applyAlignment="1" applyProtection="1"/>
    <xf numFmtId="0" fontId="0" fillId="10" borderId="0" xfId="0" applyFill="1"/>
    <xf numFmtId="0" fontId="20" fillId="0" borderId="92" xfId="0" applyFont="1" applyBorder="1" applyAlignment="1" applyProtection="1">
      <alignment horizontal="left"/>
    </xf>
    <xf numFmtId="0" fontId="19" fillId="0" borderId="9" xfId="0" applyFont="1" applyBorder="1" applyAlignment="1" applyProtection="1">
      <alignment wrapText="1"/>
      <protection locked="0"/>
    </xf>
    <xf numFmtId="0" fontId="19" fillId="0" borderId="16" xfId="0" applyFont="1" applyFill="1" applyBorder="1" applyProtection="1"/>
    <xf numFmtId="0" fontId="30" fillId="0" borderId="0" xfId="5" applyFont="1" applyFill="1" applyAlignment="1" applyProtection="1">
      <alignment horizontal="center"/>
    </xf>
    <xf numFmtId="0" fontId="19" fillId="0" borderId="33" xfId="0" applyFont="1" applyFill="1" applyBorder="1" applyAlignment="1" applyProtection="1">
      <alignment horizontal="center" vertical="center"/>
    </xf>
    <xf numFmtId="0" fontId="26" fillId="0" borderId="0" xfId="0" applyFont="1" applyFill="1" applyAlignment="1" applyProtection="1">
      <alignment horizontal="center"/>
    </xf>
    <xf numFmtId="0" fontId="19" fillId="0" borderId="0" xfId="0" applyFont="1" applyFill="1" applyAlignment="1" applyProtection="1">
      <alignment horizontal="center"/>
    </xf>
    <xf numFmtId="0" fontId="19" fillId="0" borderId="8" xfId="0" applyFont="1" applyFill="1" applyBorder="1" applyAlignment="1" applyProtection="1"/>
    <xf numFmtId="44" fontId="19" fillId="6" borderId="6" xfId="3" applyFont="1" applyFill="1" applyBorder="1" applyProtection="1"/>
    <xf numFmtId="164" fontId="22" fillId="6" borderId="74" xfId="0" applyNumberFormat="1" applyFont="1" applyFill="1" applyBorder="1" applyAlignment="1" applyProtection="1">
      <alignment horizontal="center"/>
      <protection locked="0"/>
    </xf>
    <xf numFmtId="164" fontId="22" fillId="6" borderId="75" xfId="0" applyNumberFormat="1" applyFont="1" applyFill="1" applyBorder="1" applyAlignment="1" applyProtection="1">
      <alignment horizontal="center"/>
      <protection locked="0"/>
    </xf>
    <xf numFmtId="164" fontId="22" fillId="6" borderId="111" xfId="0" applyNumberFormat="1" applyFont="1" applyFill="1" applyBorder="1" applyAlignment="1" applyProtection="1">
      <alignment horizontal="center"/>
      <protection locked="0"/>
    </xf>
    <xf numFmtId="0" fontId="22" fillId="6" borderId="97" xfId="0" applyFont="1" applyFill="1" applyBorder="1" applyAlignment="1" applyProtection="1">
      <alignment horizontal="center"/>
      <protection locked="0"/>
    </xf>
    <xf numFmtId="0" fontId="22" fillId="5" borderId="0" xfId="0" applyFont="1" applyFill="1" applyBorder="1"/>
    <xf numFmtId="164" fontId="22" fillId="6" borderId="113" xfId="0" applyNumberFormat="1" applyFont="1" applyFill="1" applyBorder="1" applyAlignment="1" applyProtection="1">
      <alignment horizontal="center"/>
      <protection locked="0"/>
    </xf>
    <xf numFmtId="0" fontId="22" fillId="6" borderId="53" xfId="0" applyFont="1" applyFill="1" applyBorder="1" applyAlignment="1" applyProtection="1">
      <alignment horizontal="center"/>
      <protection locked="0"/>
    </xf>
    <xf numFmtId="0" fontId="20" fillId="0" borderId="112" xfId="0" applyFont="1" applyFill="1" applyBorder="1" applyAlignment="1">
      <alignment horizontal="center" vertical="top" wrapText="1"/>
    </xf>
    <xf numFmtId="0" fontId="40" fillId="0" borderId="9" xfId="0" applyFont="1" applyFill="1" applyBorder="1" applyAlignment="1">
      <alignment vertical="top" wrapText="1"/>
    </xf>
    <xf numFmtId="44" fontId="19" fillId="0" borderId="10" xfId="3" applyFont="1" applyFill="1" applyBorder="1" applyProtection="1"/>
    <xf numFmtId="0" fontId="50" fillId="0" borderId="0" xfId="0" applyFont="1"/>
    <xf numFmtId="0" fontId="50" fillId="0" borderId="0" xfId="0" applyFont="1" applyFill="1" applyBorder="1"/>
    <xf numFmtId="0" fontId="22" fillId="6" borderId="114" xfId="0" applyFont="1" applyFill="1" applyBorder="1" applyProtection="1">
      <protection locked="0"/>
    </xf>
    <xf numFmtId="0" fontId="22" fillId="6" borderId="115" xfId="0" applyFont="1" applyFill="1" applyBorder="1" applyProtection="1">
      <protection locked="0"/>
    </xf>
    <xf numFmtId="44" fontId="22" fillId="0" borderId="116" xfId="3" applyFont="1" applyFill="1" applyBorder="1"/>
    <xf numFmtId="44" fontId="22" fillId="0" borderId="117" xfId="3" applyFont="1" applyFill="1" applyBorder="1"/>
    <xf numFmtId="44" fontId="22" fillId="0" borderId="118" xfId="3" applyFont="1" applyFill="1" applyBorder="1"/>
    <xf numFmtId="0" fontId="22" fillId="6" borderId="116" xfId="0" applyFont="1" applyFill="1" applyBorder="1" applyProtection="1">
      <protection locked="0"/>
    </xf>
    <xf numFmtId="0" fontId="22" fillId="6" borderId="117" xfId="0" applyFont="1" applyFill="1" applyBorder="1" applyProtection="1">
      <protection locked="0"/>
    </xf>
    <xf numFmtId="0" fontId="22" fillId="6" borderId="118" xfId="0" applyFont="1" applyFill="1" applyBorder="1" applyProtection="1">
      <protection locked="0"/>
    </xf>
    <xf numFmtId="0" fontId="22" fillId="6" borderId="119" xfId="0" applyFont="1" applyFill="1" applyBorder="1" applyProtection="1">
      <protection locked="0"/>
    </xf>
    <xf numFmtId="0" fontId="22" fillId="6" borderId="120" xfId="0" applyFont="1" applyFill="1" applyBorder="1" applyProtection="1">
      <protection locked="0"/>
    </xf>
    <xf numFmtId="0" fontId="25" fillId="0" borderId="8" xfId="0" applyFont="1" applyFill="1" applyBorder="1" applyProtection="1"/>
    <xf numFmtId="0" fontId="25" fillId="0" borderId="92" xfId="0" applyFont="1" applyFill="1" applyBorder="1" applyAlignment="1" applyProtection="1">
      <alignment horizontal="center"/>
    </xf>
    <xf numFmtId="0" fontId="48" fillId="0" borderId="0" xfId="0" applyFont="1" applyBorder="1" applyAlignment="1">
      <alignment horizontal="center"/>
    </xf>
    <xf numFmtId="0" fontId="0" fillId="0" borderId="0" xfId="0" applyFont="1" applyAlignment="1"/>
    <xf numFmtId="0" fontId="17" fillId="2" borderId="0" xfId="5" applyFill="1" applyAlignment="1" applyProtection="1"/>
    <xf numFmtId="0" fontId="17" fillId="0" borderId="0" xfId="5" applyAlignment="1" applyProtection="1"/>
    <xf numFmtId="0" fontId="0" fillId="0" borderId="0" xfId="0" applyAlignment="1"/>
    <xf numFmtId="0" fontId="47" fillId="0" borderId="0" xfId="0" applyFont="1" applyBorder="1" applyAlignment="1">
      <alignment horizontal="center"/>
    </xf>
    <xf numFmtId="0" fontId="19" fillId="0" borderId="0" xfId="0" applyFont="1" applyAlignment="1"/>
    <xf numFmtId="0" fontId="34" fillId="2" borderId="102" xfId="6" applyFont="1" applyFill="1" applyBorder="1" applyAlignment="1" applyProtection="1">
      <alignment horizontal="center" vertical="center" wrapText="1"/>
      <protection locked="0"/>
    </xf>
    <xf numFmtId="0" fontId="34" fillId="2" borderId="67" xfId="6" applyFont="1" applyFill="1" applyBorder="1" applyAlignment="1" applyProtection="1">
      <alignment horizontal="center" vertical="center"/>
      <protection locked="0"/>
    </xf>
    <xf numFmtId="0" fontId="28" fillId="0" borderId="103" xfId="6" applyFont="1" applyFill="1" applyBorder="1" applyAlignment="1" applyProtection="1">
      <alignment horizontal="left" vertical="top" wrapText="1"/>
      <protection locked="0"/>
    </xf>
    <xf numFmtId="0" fontId="28" fillId="0" borderId="104" xfId="6" applyFont="1" applyFill="1" applyBorder="1" applyAlignment="1" applyProtection="1">
      <alignment horizontal="left" vertical="top" wrapText="1"/>
      <protection locked="0"/>
    </xf>
    <xf numFmtId="0" fontId="19" fillId="6" borderId="24" xfId="0" applyFont="1" applyFill="1" applyBorder="1" applyAlignment="1" applyProtection="1">
      <alignment horizontal="left"/>
      <protection locked="0"/>
    </xf>
    <xf numFmtId="0" fontId="19" fillId="6" borderId="21" xfId="0" applyFont="1" applyFill="1" applyBorder="1" applyAlignment="1" applyProtection="1">
      <alignment horizontal="left"/>
      <protection locked="0"/>
    </xf>
    <xf numFmtId="0" fontId="19" fillId="6" borderId="36" xfId="0" applyFont="1" applyFill="1" applyBorder="1" applyAlignment="1" applyProtection="1">
      <alignment horizontal="left"/>
      <protection locked="0"/>
    </xf>
    <xf numFmtId="0" fontId="19" fillId="6" borderId="24" xfId="0" applyFont="1" applyFill="1" applyBorder="1" applyAlignment="1" applyProtection="1">
      <protection locked="0"/>
    </xf>
    <xf numFmtId="0" fontId="0" fillId="0" borderId="21" xfId="0" applyBorder="1" applyAlignment="1" applyProtection="1">
      <protection locked="0"/>
    </xf>
    <xf numFmtId="0" fontId="0" fillId="0" borderId="36" xfId="0" applyBorder="1" applyAlignment="1" applyProtection="1">
      <protection locked="0"/>
    </xf>
    <xf numFmtId="0" fontId="20" fillId="0" borderId="24" xfId="0" applyFont="1" applyBorder="1" applyAlignment="1" applyProtection="1"/>
    <xf numFmtId="0" fontId="0" fillId="0" borderId="21" xfId="0" applyBorder="1" applyAlignment="1"/>
    <xf numFmtId="0" fontId="0" fillId="0" borderId="22" xfId="0" applyBorder="1" applyAlignment="1"/>
    <xf numFmtId="0" fontId="19" fillId="0" borderId="0" xfId="0" applyFont="1" applyAlignment="1" applyProtection="1">
      <alignment horizontal="right"/>
    </xf>
    <xf numFmtId="0" fontId="0" fillId="0" borderId="0" xfId="0" applyAlignment="1" applyProtection="1">
      <alignment horizontal="right"/>
    </xf>
    <xf numFmtId="0" fontId="22" fillId="6" borderId="0" xfId="0" applyFont="1" applyFill="1" applyAlignment="1" applyProtection="1">
      <protection locked="0"/>
    </xf>
    <xf numFmtId="0" fontId="0" fillId="0" borderId="0" xfId="0" applyAlignment="1" applyProtection="1">
      <protection locked="0"/>
    </xf>
    <xf numFmtId="0" fontId="34" fillId="2" borderId="102" xfId="6" applyFont="1" applyFill="1" applyBorder="1" applyAlignment="1" applyProtection="1">
      <alignment horizontal="center" wrapText="1"/>
      <protection locked="0"/>
    </xf>
    <xf numFmtId="0" fontId="34" fillId="2" borderId="67" xfId="6" applyFont="1" applyFill="1" applyBorder="1" applyAlignment="1" applyProtection="1">
      <alignment horizontal="center"/>
      <protection locked="0"/>
    </xf>
    <xf numFmtId="0" fontId="28" fillId="0" borderId="105" xfId="6" applyFont="1" applyFill="1" applyBorder="1" applyAlignment="1" applyProtection="1">
      <alignment horizontal="left" vertical="top" wrapText="1"/>
      <protection locked="0"/>
    </xf>
    <xf numFmtId="0" fontId="34" fillId="2" borderId="15" xfId="6" applyFont="1" applyFill="1" applyBorder="1" applyAlignment="1" applyProtection="1">
      <alignment horizontal="center" vertical="center" wrapText="1"/>
      <protection locked="0"/>
    </xf>
    <xf numFmtId="0" fontId="34" fillId="2" borderId="12" xfId="6" applyFont="1" applyFill="1" applyBorder="1" applyAlignment="1" applyProtection="1">
      <alignment horizontal="center" vertical="center"/>
      <protection locked="0"/>
    </xf>
    <xf numFmtId="0" fontId="27" fillId="0" borderId="25" xfId="6" applyFont="1" applyFill="1" applyBorder="1" applyAlignment="1" applyProtection="1">
      <alignment horizontal="left" vertical="top" wrapText="1"/>
      <protection locked="0"/>
    </xf>
    <xf numFmtId="0" fontId="27" fillId="0" borderId="26" xfId="6" applyFont="1" applyFill="1" applyBorder="1" applyAlignment="1" applyProtection="1">
      <alignment horizontal="left" vertical="top" wrapText="1"/>
      <protection locked="0"/>
    </xf>
    <xf numFmtId="0" fontId="29" fillId="0" borderId="106" xfId="0" applyFont="1" applyBorder="1" applyAlignment="1">
      <alignment horizontal="left"/>
    </xf>
    <xf numFmtId="0" fontId="29" fillId="0" borderId="4" xfId="0" applyFont="1" applyBorder="1" applyAlignment="1">
      <alignment horizontal="left"/>
    </xf>
    <xf numFmtId="0" fontId="29" fillId="0" borderId="106" xfId="0" applyFont="1" applyFill="1" applyBorder="1" applyAlignment="1">
      <alignment horizontal="left"/>
    </xf>
    <xf numFmtId="0" fontId="29" fillId="0" borderId="4" xfId="0" applyFont="1" applyFill="1" applyBorder="1" applyAlignment="1">
      <alignment horizontal="left"/>
    </xf>
    <xf numFmtId="0" fontId="45" fillId="8" borderId="0" xfId="0" applyFont="1" applyFill="1" applyBorder="1" applyAlignment="1">
      <alignment horizontal="center" wrapText="1"/>
    </xf>
    <xf numFmtId="0" fontId="0" fillId="0" borderId="0" xfId="0" applyAlignment="1">
      <alignment horizontal="center"/>
    </xf>
    <xf numFmtId="0" fontId="45" fillId="8" borderId="37" xfId="0" applyFont="1" applyFill="1" applyBorder="1" applyAlignment="1">
      <alignment horizontal="center" wrapText="1"/>
    </xf>
    <xf numFmtId="0" fontId="0" fillId="0" borderId="37" xfId="0" applyBorder="1" applyAlignment="1">
      <alignment horizontal="center"/>
    </xf>
    <xf numFmtId="0" fontId="34" fillId="2" borderId="25" xfId="6" applyFont="1" applyFill="1" applyBorder="1" applyAlignment="1" applyProtection="1">
      <alignment horizontal="center" vertical="center" wrapText="1"/>
      <protection locked="0"/>
    </xf>
    <xf numFmtId="0" fontId="34" fillId="2" borderId="26" xfId="6" applyFont="1" applyFill="1" applyBorder="1" applyAlignment="1" applyProtection="1">
      <alignment horizontal="center" vertical="center"/>
      <protection locked="0"/>
    </xf>
    <xf numFmtId="0" fontId="3" fillId="0" borderId="87" xfId="6" applyFont="1" applyFill="1" applyBorder="1" applyAlignment="1" applyProtection="1">
      <alignment horizontal="left" vertical="top" wrapText="1"/>
      <protection locked="0"/>
    </xf>
    <xf numFmtId="0" fontId="3" fillId="0" borderId="78" xfId="6" applyFont="1" applyFill="1" applyBorder="1" applyAlignment="1" applyProtection="1">
      <alignment horizontal="left" vertical="top" wrapText="1"/>
      <protection locked="0"/>
    </xf>
    <xf numFmtId="0" fontId="49" fillId="4" borderId="13" xfId="1" applyFont="1" applyBorder="1" applyAlignment="1" applyProtection="1">
      <alignment horizontal="center" vertical="center" wrapText="1"/>
      <protection locked="0"/>
    </xf>
    <xf numFmtId="0" fontId="49" fillId="4" borderId="22" xfId="1" applyFont="1" applyBorder="1" applyAlignment="1" applyProtection="1">
      <alignment horizontal="center" vertical="center" wrapText="1"/>
      <protection locked="0"/>
    </xf>
    <xf numFmtId="0" fontId="12" fillId="0" borderId="103" xfId="0" applyFont="1" applyBorder="1" applyAlignment="1" applyProtection="1">
      <alignment horizontal="justify" vertical="center" wrapText="1"/>
      <protection hidden="1"/>
    </xf>
    <xf numFmtId="0" fontId="0" fillId="0" borderId="4" xfId="0" applyBorder="1"/>
    <xf numFmtId="0" fontId="0" fillId="0" borderId="104" xfId="0" applyBorder="1"/>
    <xf numFmtId="0" fontId="29" fillId="0" borderId="89" xfId="0" applyFont="1" applyBorder="1" applyAlignment="1" applyProtection="1">
      <alignment horizontal="center"/>
      <protection hidden="1"/>
    </xf>
    <xf numFmtId="0" fontId="29" fillId="0" borderId="14" xfId="0" applyFont="1" applyBorder="1" applyAlignment="1" applyProtection="1">
      <alignment horizontal="center"/>
      <protection hidden="1"/>
    </xf>
    <xf numFmtId="0" fontId="29" fillId="0" borderId="88" xfId="0" applyFont="1" applyBorder="1" applyAlignment="1" applyProtection="1">
      <alignment horizontal="center"/>
      <protection hidden="1"/>
    </xf>
    <xf numFmtId="0" fontId="18" fillId="0" borderId="102" xfId="0" applyFont="1" applyBorder="1" applyAlignment="1">
      <alignment horizontal="right" vertical="top"/>
    </xf>
    <xf numFmtId="0" fontId="18" fillId="0" borderId="66" xfId="0" applyFont="1" applyBorder="1" applyAlignment="1">
      <alignment horizontal="right" vertical="top"/>
    </xf>
    <xf numFmtId="0" fontId="39" fillId="2" borderId="16" xfId="0" applyFont="1" applyFill="1" applyBorder="1" applyAlignment="1" applyProtection="1">
      <alignment horizontal="right"/>
      <protection hidden="1"/>
    </xf>
    <xf numFmtId="0" fontId="0" fillId="0" borderId="0" xfId="0" applyFont="1" applyBorder="1" applyAlignment="1" applyProtection="1">
      <alignment horizontal="right"/>
      <protection hidden="1"/>
    </xf>
    <xf numFmtId="0" fontId="39" fillId="2" borderId="108" xfId="0" applyFont="1" applyFill="1" applyBorder="1" applyAlignment="1" applyProtection="1">
      <alignment horizontal="right"/>
      <protection hidden="1"/>
    </xf>
    <xf numFmtId="0" fontId="0" fillId="0" borderId="37" xfId="0" applyFont="1" applyBorder="1" applyAlignment="1" applyProtection="1">
      <alignment horizontal="right"/>
      <protection hidden="1"/>
    </xf>
    <xf numFmtId="0" fontId="39" fillId="2" borderId="17" xfId="0" applyFont="1" applyFill="1" applyBorder="1" applyAlignment="1" applyProtection="1">
      <alignment horizontal="right"/>
      <protection hidden="1"/>
    </xf>
    <xf numFmtId="0" fontId="0" fillId="0" borderId="18" xfId="0" applyFont="1" applyBorder="1" applyAlignment="1" applyProtection="1">
      <alignment horizontal="right"/>
      <protection hidden="1"/>
    </xf>
    <xf numFmtId="0" fontId="29" fillId="0" borderId="92" xfId="0" applyFont="1" applyBorder="1" applyAlignment="1" applyProtection="1">
      <alignment horizontal="left" wrapText="1"/>
      <protection hidden="1"/>
    </xf>
    <xf numFmtId="0" fontId="29" fillId="0" borderId="93" xfId="0" applyFont="1" applyBorder="1" applyAlignment="1" applyProtection="1">
      <alignment horizontal="left" wrapText="1"/>
      <protection hidden="1"/>
    </xf>
    <xf numFmtId="0" fontId="29" fillId="0" borderId="94" xfId="0" applyFont="1" applyBorder="1" applyAlignment="1" applyProtection="1">
      <alignment horizontal="left" wrapText="1"/>
      <protection hidden="1"/>
    </xf>
    <xf numFmtId="0" fontId="37" fillId="6" borderId="22" xfId="0" applyFont="1" applyFill="1" applyBorder="1" applyAlignment="1" applyProtection="1">
      <alignment horizontal="center" vertical="center"/>
      <protection locked="0"/>
    </xf>
    <xf numFmtId="0" fontId="37" fillId="6" borderId="10" xfId="0" applyFont="1" applyFill="1" applyBorder="1" applyAlignment="1" applyProtection="1">
      <alignment horizontal="center" vertical="center"/>
      <protection locked="0"/>
    </xf>
    <xf numFmtId="0" fontId="37" fillId="0" borderId="22" xfId="0" applyFont="1" applyFill="1" applyBorder="1" applyAlignment="1" applyProtection="1">
      <alignment horizontal="center" vertical="center"/>
      <protection hidden="1"/>
    </xf>
    <xf numFmtId="0" fontId="37" fillId="0" borderId="10" xfId="0" applyFont="1" applyFill="1" applyBorder="1" applyAlignment="1" applyProtection="1">
      <alignment horizontal="center" vertical="center"/>
      <protection hidden="1"/>
    </xf>
    <xf numFmtId="0" fontId="42" fillId="2" borderId="16" xfId="0" applyFont="1" applyFill="1" applyBorder="1" applyAlignment="1" applyProtection="1">
      <alignment horizontal="right"/>
      <protection hidden="1"/>
    </xf>
    <xf numFmtId="0" fontId="18" fillId="0" borderId="0" xfId="0" applyFont="1" applyBorder="1" applyAlignment="1" applyProtection="1">
      <alignment horizontal="right"/>
      <protection hidden="1"/>
    </xf>
    <xf numFmtId="0" fontId="42" fillId="2" borderId="107" xfId="0" applyFont="1" applyFill="1" applyBorder="1" applyAlignment="1" applyProtection="1">
      <alignment horizontal="right" vertical="center"/>
      <protection hidden="1"/>
    </xf>
    <xf numFmtId="0" fontId="39" fillId="0" borderId="11" xfId="0" applyFont="1" applyBorder="1" applyAlignment="1" applyProtection="1">
      <alignment horizontal="right" vertical="center"/>
      <protection hidden="1"/>
    </xf>
    <xf numFmtId="0" fontId="29" fillId="0" borderId="13" xfId="0" applyFont="1" applyBorder="1" applyAlignment="1" applyProtection="1">
      <alignment horizontal="left" wrapText="1"/>
      <protection hidden="1"/>
    </xf>
    <xf numFmtId="0" fontId="36" fillId="0" borderId="21" xfId="0" applyFont="1" applyBorder="1" applyAlignment="1" applyProtection="1">
      <alignment horizontal="left" wrapText="1"/>
      <protection hidden="1"/>
    </xf>
    <xf numFmtId="0" fontId="36" fillId="0" borderId="22" xfId="0" applyFont="1" applyBorder="1" applyAlignment="1" applyProtection="1">
      <alignment horizontal="left" wrapText="1"/>
      <protection hidden="1"/>
    </xf>
    <xf numFmtId="0" fontId="4" fillId="0" borderId="109" xfId="6" applyFont="1" applyFill="1" applyBorder="1" applyAlignment="1" applyProtection="1">
      <alignment horizontal="left" vertical="top" wrapText="1"/>
      <protection locked="0"/>
    </xf>
    <xf numFmtId="0" fontId="4" fillId="0" borderId="110" xfId="6" applyFont="1" applyFill="1" applyBorder="1" applyAlignment="1" applyProtection="1">
      <alignment horizontal="left" vertical="top" wrapText="1"/>
      <protection locked="0"/>
    </xf>
    <xf numFmtId="0" fontId="27" fillId="6" borderId="2" xfId="0" applyFont="1" applyFill="1" applyBorder="1" applyAlignment="1" applyProtection="1">
      <alignment horizontal="left" vertical="top" wrapText="1"/>
      <protection locked="0"/>
    </xf>
    <xf numFmtId="0" fontId="27" fillId="6" borderId="1" xfId="0" applyFont="1" applyFill="1" applyBorder="1" applyAlignment="1" applyProtection="1">
      <alignment horizontal="left" vertical="top" wrapText="1"/>
      <protection locked="0"/>
    </xf>
    <xf numFmtId="0" fontId="27" fillId="6" borderId="41" xfId="0" applyFont="1" applyFill="1" applyBorder="1" applyAlignment="1" applyProtection="1">
      <alignment horizontal="left" vertical="top" wrapText="1"/>
      <protection locked="0"/>
    </xf>
  </cellXfs>
  <cellStyles count="9">
    <cellStyle name="Bad" xfId="1" builtinId="27"/>
    <cellStyle name="Comma 2" xfId="2" xr:uid="{00000000-0005-0000-0000-000001000000}"/>
    <cellStyle name="Currency" xfId="3" builtinId="4"/>
    <cellStyle name="Currency 2" xfId="4" xr:uid="{00000000-0005-0000-0000-000003000000}"/>
    <cellStyle name="Hyperlink" xfId="5" builtinId="8"/>
    <cellStyle name="Normal" xfId="0" builtinId="0"/>
    <cellStyle name="Normal 2" xfId="6" xr:uid="{00000000-0005-0000-0000-000006000000}"/>
    <cellStyle name="Percent" xfId="7" builtinId="5"/>
    <cellStyle name="Percent 2" xfId="8" xr:uid="{00000000-0005-0000-0000-000008000000}"/>
  </cellStyles>
  <dxfs count="7">
    <dxf>
      <font>
        <color rgb="FFC0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5848350</xdr:colOff>
      <xdr:row>40</xdr:row>
      <xdr:rowOff>28575</xdr:rowOff>
    </xdr:from>
    <xdr:to>
      <xdr:col>1</xdr:col>
      <xdr:colOff>6200775</xdr:colOff>
      <xdr:row>42</xdr:row>
      <xdr:rowOff>19050</xdr:rowOff>
    </xdr:to>
    <xdr:pic>
      <xdr:nvPicPr>
        <xdr:cNvPr id="1028" name="Picture 2" descr="Eq Hsng logo transparant">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9200" y="7648575"/>
          <a:ext cx="0" cy="342900"/>
        </a:xfrm>
        <a:prstGeom prst="rect">
          <a:avLst/>
        </a:prstGeom>
        <a:noFill/>
        <a:ln w="9525">
          <a:noFill/>
          <a:miter lim="800000"/>
          <a:headEnd/>
          <a:tailEnd/>
        </a:ln>
      </xdr:spPr>
    </xdr:pic>
    <xdr:clientData/>
  </xdr:twoCellAnchor>
  <xdr:twoCellAnchor>
    <xdr:from>
      <xdr:col>8</xdr:col>
      <xdr:colOff>1485900</xdr:colOff>
      <xdr:row>40</xdr:row>
      <xdr:rowOff>38100</xdr:rowOff>
    </xdr:from>
    <xdr:to>
      <xdr:col>8</xdr:col>
      <xdr:colOff>1838325</xdr:colOff>
      <xdr:row>42</xdr:row>
      <xdr:rowOff>28575</xdr:rowOff>
    </xdr:to>
    <xdr:pic>
      <xdr:nvPicPr>
        <xdr:cNvPr id="1029" name="Picture 2" descr="Eq Hsng logo transparant">
          <a:extLst>
            <a:ext uri="{FF2B5EF4-FFF2-40B4-BE49-F238E27FC236}">
              <a16:creationId xmlns:a16="http://schemas.microsoft.com/office/drawing/2014/main" id="{00000000-0008-0000-0000-000005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362700" y="7658100"/>
          <a:ext cx="352425" cy="342900"/>
        </a:xfrm>
        <a:prstGeom prst="rect">
          <a:avLst/>
        </a:prstGeom>
        <a:noFill/>
        <a:ln w="9525">
          <a:noFill/>
          <a:miter lim="800000"/>
          <a:headEnd/>
          <a:tailEnd/>
        </a:ln>
      </xdr:spPr>
    </xdr:pic>
    <xdr:clientData/>
  </xdr:twoCellAnchor>
  <xdr:twoCellAnchor editAs="oneCell">
    <xdr:from>
      <xdr:col>0</xdr:col>
      <xdr:colOff>0</xdr:colOff>
      <xdr:row>39</xdr:row>
      <xdr:rowOff>47625</xdr:rowOff>
    </xdr:from>
    <xdr:to>
      <xdr:col>0</xdr:col>
      <xdr:colOff>533400</xdr:colOff>
      <xdr:row>42</xdr:row>
      <xdr:rowOff>66676</xdr:rowOff>
    </xdr:to>
    <xdr:pic>
      <xdr:nvPicPr>
        <xdr:cNvPr id="1030" name="Picture 4" descr="TDHCA logo_black.jpg">
          <a:extLst>
            <a:ext uri="{FF2B5EF4-FFF2-40B4-BE49-F238E27FC236}">
              <a16:creationId xmlns:a16="http://schemas.microsoft.com/office/drawing/2014/main" id="{00000000-0008-0000-0000-000006040000}"/>
            </a:ext>
          </a:extLst>
        </xdr:cNvPr>
        <xdr:cNvPicPr>
          <a:picLocks noChangeAspect="1"/>
        </xdr:cNvPicPr>
      </xdr:nvPicPr>
      <xdr:blipFill>
        <a:blip xmlns:r="http://schemas.openxmlformats.org/officeDocument/2006/relationships" r:embed="rId2" cstate="print"/>
        <a:srcRect/>
        <a:stretch>
          <a:fillRect/>
        </a:stretch>
      </xdr:blipFill>
      <xdr:spPr bwMode="auto">
        <a:xfrm>
          <a:off x="0" y="7505700"/>
          <a:ext cx="533400" cy="5334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fairban/Desktop/Training%20-%20Joe%20Homeowner%20Setup%20and%20Draw%20Work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versyp/AppData/Local/Microsoft/Windows/Temporary%20Internet%20Files/Content.Outlook/G9OCP6VY/SFDrawWorkbook2013UpdatesOption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Final Budget"/>
      <sheetName val="Draw Request"/>
      <sheetName val="App and Cert of Payment"/>
      <sheetName val="Budget Revision"/>
      <sheetName val="Section 3 Report"/>
      <sheetName val="Budget Prep Instructions-Set-Up"/>
      <sheetName val="Final Budget Hidden Tab"/>
      <sheetName val="Draw Request Document Checklist"/>
      <sheetName val="Draw Request Instructions"/>
      <sheetName val="App and Cert Instructions"/>
      <sheetName val="Budget Revision Instructions"/>
      <sheetName val="Section 3 Report Instructions"/>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Budget Prep Instructions-Set-Up"/>
      <sheetName val="Final Budget"/>
      <sheetName val="Final Budget Hidden Tab"/>
      <sheetName val="Draw Request Instructions"/>
      <sheetName val="Draw Request"/>
      <sheetName val="App and Cert Instructions"/>
      <sheetName val="App and Cert of Payment"/>
      <sheetName val="Budget Revision Instructions"/>
      <sheetName val="Budget Revision"/>
      <sheetName val="Section 3 Report Instructions"/>
      <sheetName val="Section 3 Repor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I50"/>
  <sheetViews>
    <sheetView showGridLines="0" tabSelected="1" showRuler="0" view="pageLayout" zoomScale="110" zoomScaleNormal="100" zoomScalePageLayoutView="110" workbookViewId="0">
      <selection activeCell="B26" sqref="B26"/>
    </sheetView>
  </sheetViews>
  <sheetFormatPr defaultColWidth="0" defaultRowHeight="12.5" zeroHeight="1" x14ac:dyDescent="0.25"/>
  <cols>
    <col min="1" max="8" width="9.1796875" style="74" customWidth="1"/>
    <col min="9" max="9" width="27.81640625" style="74" customWidth="1"/>
    <col min="10" max="16384" width="0" style="74" hidden="1"/>
  </cols>
  <sheetData>
    <row r="1" spans="1:9" s="83" customFormat="1" ht="14.5" x14ac:dyDescent="0.35">
      <c r="A1" s="82" t="s">
        <v>148</v>
      </c>
    </row>
    <row r="2" spans="1:9" x14ac:dyDescent="0.25"/>
    <row r="3" spans="1:9" x14ac:dyDescent="0.25"/>
    <row r="4" spans="1:9" x14ac:dyDescent="0.25"/>
    <row r="5" spans="1:9" x14ac:dyDescent="0.25"/>
    <row r="6" spans="1:9" x14ac:dyDescent="0.25"/>
    <row r="7" spans="1:9" x14ac:dyDescent="0.25"/>
    <row r="8" spans="1:9" x14ac:dyDescent="0.25"/>
    <row r="9" spans="1:9" x14ac:dyDescent="0.25"/>
    <row r="10" spans="1:9" s="79" customFormat="1" ht="23.5" x14ac:dyDescent="0.3">
      <c r="A10" s="77" t="s">
        <v>107</v>
      </c>
      <c r="B10" s="78"/>
      <c r="C10" s="78"/>
      <c r="D10" s="78"/>
      <c r="E10" s="78"/>
      <c r="F10" s="78"/>
      <c r="G10" s="78"/>
      <c r="H10" s="78"/>
      <c r="I10" s="78"/>
    </row>
    <row r="11" spans="1:9" s="79" customFormat="1" ht="37" x14ac:dyDescent="0.3">
      <c r="A11" s="80" t="s">
        <v>126</v>
      </c>
      <c r="B11" s="78"/>
      <c r="C11" s="78"/>
      <c r="D11" s="78"/>
      <c r="E11" s="78"/>
      <c r="F11" s="78"/>
      <c r="G11" s="78"/>
      <c r="H11" s="78"/>
      <c r="I11" s="78"/>
    </row>
    <row r="12" spans="1:9" x14ac:dyDescent="0.25"/>
    <row r="13" spans="1:9" ht="15.5" x14ac:dyDescent="0.35">
      <c r="A13" s="76" t="s">
        <v>110</v>
      </c>
      <c r="B13" s="75"/>
      <c r="C13" s="75"/>
      <c r="D13" s="75"/>
      <c r="E13" s="75"/>
      <c r="F13" s="75"/>
      <c r="G13" s="75"/>
      <c r="H13" s="75"/>
      <c r="I13" s="75"/>
    </row>
    <row r="14" spans="1:9" ht="14.5" x14ac:dyDescent="0.35">
      <c r="A14" s="84" t="s">
        <v>341</v>
      </c>
      <c r="B14" s="478" t="s">
        <v>125</v>
      </c>
      <c r="C14" s="479"/>
      <c r="D14" s="479"/>
      <c r="E14" s="479"/>
      <c r="F14" s="479"/>
      <c r="G14" s="479"/>
      <c r="H14" s="479"/>
      <c r="I14" s="479"/>
    </row>
    <row r="15" spans="1:9" ht="14.5" x14ac:dyDescent="0.35">
      <c r="A15" s="84" t="s">
        <v>111</v>
      </c>
      <c r="B15" s="478" t="s">
        <v>112</v>
      </c>
      <c r="C15" s="480"/>
      <c r="D15" s="480"/>
      <c r="E15" s="480"/>
      <c r="F15" s="480"/>
      <c r="G15" s="480"/>
      <c r="H15" s="480"/>
      <c r="I15" s="480"/>
    </row>
    <row r="16" spans="1:9" ht="14.5" x14ac:dyDescent="0.35">
      <c r="A16" s="84" t="s">
        <v>113</v>
      </c>
      <c r="B16" s="478" t="s">
        <v>114</v>
      </c>
      <c r="C16" s="480"/>
      <c r="D16" s="480"/>
      <c r="E16" s="480"/>
      <c r="F16" s="480"/>
      <c r="G16" s="480"/>
      <c r="H16" s="480"/>
      <c r="I16" s="480"/>
    </row>
    <row r="17" spans="1:9" ht="14.5" x14ac:dyDescent="0.35">
      <c r="A17" s="84" t="s">
        <v>115</v>
      </c>
      <c r="B17" s="478" t="s">
        <v>123</v>
      </c>
      <c r="C17" s="479"/>
      <c r="D17" s="479"/>
      <c r="E17" s="479"/>
      <c r="F17" s="479"/>
      <c r="G17" s="479"/>
      <c r="H17" s="479"/>
      <c r="I17" s="479"/>
    </row>
    <row r="18" spans="1:9" ht="14.5" x14ac:dyDescent="0.35">
      <c r="A18" s="84" t="s">
        <v>116</v>
      </c>
      <c r="B18" s="478" t="s">
        <v>122</v>
      </c>
      <c r="C18" s="479"/>
      <c r="D18" s="479"/>
      <c r="E18" s="479"/>
      <c r="F18" s="479"/>
      <c r="G18" s="479"/>
      <c r="H18" s="479"/>
      <c r="I18" s="479"/>
    </row>
    <row r="19" spans="1:9" ht="14.5" x14ac:dyDescent="0.35">
      <c r="A19" s="84" t="s">
        <v>117</v>
      </c>
      <c r="B19" s="478" t="s">
        <v>124</v>
      </c>
      <c r="C19" s="479"/>
      <c r="D19" s="479"/>
      <c r="E19" s="479"/>
      <c r="F19" s="479"/>
      <c r="G19" s="479"/>
      <c r="H19" s="479"/>
      <c r="I19" s="479"/>
    </row>
    <row r="20" spans="1:9" ht="14.5" x14ac:dyDescent="0.35">
      <c r="A20" s="84" t="s">
        <v>118</v>
      </c>
      <c r="B20" s="478" t="s">
        <v>466</v>
      </c>
      <c r="C20" s="479"/>
      <c r="D20" s="479"/>
      <c r="E20" s="479"/>
      <c r="F20" s="479"/>
      <c r="G20" s="479"/>
      <c r="H20" s="479"/>
      <c r="I20" s="479"/>
    </row>
    <row r="21" spans="1:9" ht="14.5" x14ac:dyDescent="0.35">
      <c r="A21" s="84" t="s">
        <v>119</v>
      </c>
      <c r="B21" s="478" t="s">
        <v>131</v>
      </c>
      <c r="C21" s="479"/>
      <c r="D21" s="479"/>
      <c r="E21" s="479"/>
      <c r="F21" s="479"/>
      <c r="G21" s="479"/>
      <c r="H21" s="479"/>
      <c r="I21" s="479"/>
    </row>
    <row r="22" spans="1:9" ht="14.5" x14ac:dyDescent="0.35">
      <c r="A22" s="84" t="s">
        <v>120</v>
      </c>
      <c r="B22" s="478" t="s">
        <v>132</v>
      </c>
      <c r="C22" s="479"/>
      <c r="D22" s="479"/>
      <c r="E22" s="479"/>
      <c r="F22" s="479"/>
      <c r="G22" s="479"/>
      <c r="H22" s="479"/>
      <c r="I22" s="479"/>
    </row>
    <row r="23" spans="1:9" x14ac:dyDescent="0.25"/>
    <row r="24" spans="1:9" x14ac:dyDescent="0.25"/>
    <row r="25" spans="1:9" x14ac:dyDescent="0.25"/>
    <row r="26" spans="1:9" x14ac:dyDescent="0.25"/>
    <row r="27" spans="1:9" x14ac:dyDescent="0.25"/>
    <row r="28" spans="1:9" x14ac:dyDescent="0.25"/>
    <row r="29" spans="1:9" x14ac:dyDescent="0.25"/>
    <row r="30" spans="1:9" x14ac:dyDescent="0.25"/>
    <row r="31" spans="1:9" x14ac:dyDescent="0.25"/>
    <row r="32" spans="1:9" x14ac:dyDescent="0.25"/>
    <row r="33" spans="1:9" x14ac:dyDescent="0.25"/>
    <row r="34" spans="1:9" x14ac:dyDescent="0.25"/>
    <row r="35" spans="1:9" x14ac:dyDescent="0.25"/>
    <row r="36" spans="1:9" x14ac:dyDescent="0.25"/>
    <row r="37" spans="1:9" x14ac:dyDescent="0.25"/>
    <row r="38" spans="1:9" x14ac:dyDescent="0.25"/>
    <row r="39" spans="1:9" x14ac:dyDescent="0.25"/>
    <row r="40" spans="1:9" x14ac:dyDescent="0.25"/>
    <row r="41" spans="1:9" ht="14.5" x14ac:dyDescent="0.35">
      <c r="A41" s="476" t="s">
        <v>108</v>
      </c>
      <c r="B41" s="476"/>
      <c r="C41" s="480"/>
      <c r="D41" s="480"/>
      <c r="E41" s="480"/>
      <c r="F41" s="480"/>
      <c r="G41" s="480"/>
      <c r="H41" s="480"/>
      <c r="I41" s="480"/>
    </row>
    <row r="42" spans="1:9" ht="13" x14ac:dyDescent="0.3">
      <c r="A42" s="481" t="s">
        <v>109</v>
      </c>
      <c r="B42" s="481"/>
      <c r="C42" s="482"/>
      <c r="D42" s="482"/>
      <c r="E42" s="482"/>
      <c r="F42" s="482"/>
      <c r="G42" s="482"/>
      <c r="H42" s="482"/>
      <c r="I42" s="482"/>
    </row>
    <row r="43" spans="1:9" ht="14.5" x14ac:dyDescent="0.35">
      <c r="A43" s="476" t="s">
        <v>470</v>
      </c>
      <c r="B43" s="476"/>
      <c r="C43" s="477"/>
      <c r="D43" s="477"/>
      <c r="E43" s="477"/>
      <c r="F43" s="477"/>
      <c r="G43" s="477"/>
      <c r="H43" s="477"/>
      <c r="I43" s="477"/>
    </row>
    <row r="44" spans="1:9" x14ac:dyDescent="0.25"/>
    <row r="45" spans="1:9" x14ac:dyDescent="0.25"/>
    <row r="46" spans="1:9" x14ac:dyDescent="0.25"/>
    <row r="47" spans="1:9" x14ac:dyDescent="0.25"/>
    <row r="48" spans="1:9" x14ac:dyDescent="0.25"/>
    <row r="49" x14ac:dyDescent="0.25"/>
    <row r="50" x14ac:dyDescent="0.25"/>
  </sheetData>
  <mergeCells count="12">
    <mergeCell ref="B19:I19"/>
    <mergeCell ref="B14:I14"/>
    <mergeCell ref="B15:I15"/>
    <mergeCell ref="B16:I16"/>
    <mergeCell ref="B17:I17"/>
    <mergeCell ref="B18:I18"/>
    <mergeCell ref="A43:I43"/>
    <mergeCell ref="B22:I22"/>
    <mergeCell ref="A41:I41"/>
    <mergeCell ref="A42:I42"/>
    <mergeCell ref="B20:I20"/>
    <mergeCell ref="B21:I21"/>
  </mergeCells>
  <hyperlinks>
    <hyperlink ref="B14" location="'Budget Prep Instructions-Set-Up'!A1" display="Instructions for Final Budget Tab (Tab 2)" xr:uid="{00000000-0004-0000-0000-000000000000}"/>
    <hyperlink ref="B15" location="'Final Budget'!A1" display="Final Budget Tab (Fillable Form)" xr:uid="{00000000-0004-0000-0000-000001000000}"/>
    <hyperlink ref="B16" location="'Draw Request Document Checklist'!A1" display="Checklist - Draw Request Documents" xr:uid="{00000000-0004-0000-0000-000002000000}"/>
    <hyperlink ref="B17" location="'Draw Request Instructions'!A1" display="Instructions for Draw Request and Match Log Tab (Tab 5)" xr:uid="{00000000-0004-0000-0000-000003000000}"/>
    <hyperlink ref="B18" location="'Draw Request'!A1" display="Draw Request And Match Log Tab" xr:uid="{00000000-0004-0000-0000-000004000000}"/>
    <hyperlink ref="B19" location="'App and Cert Instructions'!A1" display="Instructions for Application and Certification for Payment Tab (Tab 7)" xr:uid="{00000000-0004-0000-0000-000005000000}"/>
    <hyperlink ref="B20" location="'App and Cert of Payment'!A1" display="Application and Certification of Payment" xr:uid="{00000000-0004-0000-0000-000006000000}"/>
    <hyperlink ref="B21" location="'Activity Revision Instructions'!A1" display="Instructions for Activity Revision Request Tab (Tab 9)" xr:uid="{00000000-0004-0000-0000-000007000000}"/>
    <hyperlink ref="B22" location="'Activty Revision'!A1" display="Activity Revision Request Tab" xr:uid="{00000000-0004-0000-0000-000008000000}"/>
    <hyperlink ref="A1" location="'Table of Contents'!B14" display="Click to access the table of contents" xr:uid="{00000000-0004-0000-0000-000009000000}"/>
    <hyperlink ref="B18:I18" location="'Draw Request'!A1" display="Draw Request And Match Log Tab (Fillable Form)" xr:uid="{00000000-0004-0000-0000-00000A000000}"/>
    <hyperlink ref="B20:I20" location="'App and Cert for Payment'!A1" display="Application and Certification for Payment (Fillable Form)" xr:uid="{00000000-0004-0000-0000-00000B000000}"/>
    <hyperlink ref="B22:I22" location="'Budget Revision'!A1" display="Budget Revision Request (Fillable Form)" xr:uid="{00000000-0004-0000-0000-00000C000000}"/>
    <hyperlink ref="B17:I17" location="'Draw Request Instructions'!A1" display="Instructions for Draw Request and Match Log" xr:uid="{00000000-0004-0000-0000-00000D000000}"/>
    <hyperlink ref="B14:I14" location="'Budget Prep Instructions-Set-Up'!A1" display="Instructions for Final Budget" xr:uid="{00000000-0004-0000-0000-00000E000000}"/>
    <hyperlink ref="B19:I19" location="'App and Cert Instructions'!A1" display="Instructions for Application and Certification for Payment" xr:uid="{00000000-0004-0000-0000-00000F000000}"/>
    <hyperlink ref="B21:I21" location="'Budget Revision Instructions'!A1" display="Instructions for Budget Revision Request" xr:uid="{00000000-0004-0000-0000-000010000000}"/>
  </hyperlinks>
  <pageMargins left="0.25" right="0.25" top="0.75" bottom="0.75" header="0.3" footer="0.3"/>
  <pageSetup orientation="portrait" r:id="rId1"/>
  <headerFooter alignWithMargins="0">
    <oddHeader xml:space="preserve">&amp;CTable of Contents
</oddHeader>
    <oddFooter>&amp;CSF Draw Workbook - Updated 2/21/2025</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0"/>
  <sheetViews>
    <sheetView showGridLines="0" view="pageLayout" zoomScaleNormal="100" workbookViewId="0">
      <selection sqref="A1:B1"/>
    </sheetView>
  </sheetViews>
  <sheetFormatPr defaultColWidth="0" defaultRowHeight="14.5" zeroHeight="1" x14ac:dyDescent="0.35"/>
  <cols>
    <col min="1" max="1" width="35.1796875" style="40" customWidth="1"/>
    <col min="2" max="2" width="64.453125" style="40" customWidth="1"/>
    <col min="3" max="16" width="0" style="158" hidden="1" customWidth="1"/>
    <col min="17" max="16384" width="0" style="40" hidden="1"/>
  </cols>
  <sheetData>
    <row r="1" spans="1:2" ht="39.75" customHeight="1" thickBot="1" x14ac:dyDescent="0.4">
      <c r="A1" s="515" t="s">
        <v>327</v>
      </c>
      <c r="B1" s="516"/>
    </row>
    <row r="2" spans="1:2" ht="123.65" customHeight="1" thickTop="1" thickBot="1" x14ac:dyDescent="0.4">
      <c r="A2" s="549" t="s">
        <v>328</v>
      </c>
      <c r="B2" s="550"/>
    </row>
    <row r="3" spans="1:2" ht="15" customHeight="1" thickTop="1" x14ac:dyDescent="0.35">
      <c r="A3" s="89" t="s">
        <v>453</v>
      </c>
      <c r="B3" s="89"/>
    </row>
    <row r="4" spans="1:2" ht="84" customHeight="1" x14ac:dyDescent="0.35">
      <c r="A4" s="42" t="s">
        <v>335</v>
      </c>
      <c r="B4" s="43" t="s">
        <v>454</v>
      </c>
    </row>
    <row r="5" spans="1:2" ht="26" x14ac:dyDescent="0.35">
      <c r="A5" s="42" t="s">
        <v>329</v>
      </c>
      <c r="B5" s="43" t="s">
        <v>336</v>
      </c>
    </row>
    <row r="6" spans="1:2" ht="69.75" customHeight="1" x14ac:dyDescent="0.35">
      <c r="A6" s="42" t="s">
        <v>330</v>
      </c>
      <c r="B6" s="43" t="s">
        <v>337</v>
      </c>
    </row>
    <row r="7" spans="1:2" ht="39" x14ac:dyDescent="0.35">
      <c r="A7" s="42" t="s">
        <v>331</v>
      </c>
      <c r="B7" s="43" t="s">
        <v>338</v>
      </c>
    </row>
    <row r="8" spans="1:2" ht="27" customHeight="1" x14ac:dyDescent="0.35">
      <c r="A8" s="42" t="s">
        <v>332</v>
      </c>
      <c r="B8" s="43" t="s">
        <v>139</v>
      </c>
    </row>
    <row r="9" spans="1:2" ht="29.25" customHeight="1" x14ac:dyDescent="0.35">
      <c r="A9" s="42" t="s">
        <v>340</v>
      </c>
      <c r="B9" s="43" t="s">
        <v>339</v>
      </c>
    </row>
    <row r="10" spans="1:2" ht="39.75" customHeight="1" x14ac:dyDescent="0.35">
      <c r="A10" s="42" t="s">
        <v>333</v>
      </c>
      <c r="B10" s="43" t="s">
        <v>140</v>
      </c>
    </row>
    <row r="11" spans="1:2" x14ac:dyDescent="0.35">
      <c r="A11" s="81" t="s">
        <v>121</v>
      </c>
    </row>
    <row r="12" spans="1:2" x14ac:dyDescent="0.35"/>
    <row r="13" spans="1:2" x14ac:dyDescent="0.35"/>
    <row r="14" spans="1:2" x14ac:dyDescent="0.35"/>
    <row r="15" spans="1:2" x14ac:dyDescent="0.35"/>
    <row r="16" spans="1:2"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9" ht="76.5" hidden="1" customHeight="1" x14ac:dyDescent="0.35"/>
    <row r="40" ht="55.5" hidden="1" customHeight="1" x14ac:dyDescent="0.35"/>
  </sheetData>
  <mergeCells count="2">
    <mergeCell ref="A1:B1"/>
    <mergeCell ref="A2:B2"/>
  </mergeCells>
  <hyperlinks>
    <hyperlink ref="A11" location="'Table of Contents'!A1" display="Click to return to the Table of Contents" xr:uid="{00000000-0004-0000-0900-000000000000}"/>
  </hyperlinks>
  <pageMargins left="0.25" right="0.25" top="0.25" bottom="0.25" header="0" footer="0"/>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249977111117893"/>
  </sheetPr>
  <dimension ref="A1:I68"/>
  <sheetViews>
    <sheetView showRuler="0" view="pageLayout" zoomScaleNormal="100" workbookViewId="0">
      <selection activeCell="B1" sqref="B1"/>
    </sheetView>
  </sheetViews>
  <sheetFormatPr defaultColWidth="0" defaultRowHeight="15.5" zeroHeight="1" x14ac:dyDescent="0.35"/>
  <cols>
    <col min="1" max="1" width="28.81640625" style="50" customWidth="1"/>
    <col min="2" max="2" width="13.54296875" style="50" customWidth="1"/>
    <col min="3" max="3" width="13.81640625" style="50" customWidth="1"/>
    <col min="4" max="4" width="9.1796875" style="50" customWidth="1"/>
    <col min="5" max="5" width="16.1796875" style="50" customWidth="1"/>
    <col min="6" max="6" width="33.1796875" style="50" customWidth="1"/>
    <col min="7" max="7" width="17.1796875" style="50" customWidth="1"/>
    <col min="8" max="8" width="1.1796875" style="142" hidden="1" customWidth="1"/>
    <col min="9" max="9" width="32.453125" style="50" hidden="1" customWidth="1"/>
    <col min="10" max="16384" width="9.1796875" style="50" hidden="1"/>
  </cols>
  <sheetData>
    <row r="1" spans="1:9" ht="16" thickBot="1" x14ac:dyDescent="0.4">
      <c r="A1" s="68" t="s">
        <v>104</v>
      </c>
      <c r="B1" s="168"/>
      <c r="C1" s="69" t="s">
        <v>362</v>
      </c>
      <c r="D1" s="48"/>
      <c r="E1" s="48"/>
      <c r="F1" s="48"/>
      <c r="G1" s="49"/>
      <c r="H1" s="175" t="s">
        <v>247</v>
      </c>
      <c r="I1" s="51" t="s">
        <v>13</v>
      </c>
    </row>
    <row r="2" spans="1:9" ht="41.25" customHeight="1" x14ac:dyDescent="0.35">
      <c r="A2" s="67" t="s">
        <v>251</v>
      </c>
      <c r="B2" s="65"/>
      <c r="C2" s="65"/>
      <c r="D2" s="65"/>
      <c r="E2" s="65"/>
      <c r="F2" s="65"/>
      <c r="G2" s="66"/>
      <c r="H2" s="176" t="s">
        <v>239</v>
      </c>
      <c r="I2" s="70"/>
    </row>
    <row r="3" spans="1:9" ht="13" x14ac:dyDescent="0.3">
      <c r="H3" s="176" t="s">
        <v>240</v>
      </c>
      <c r="I3" s="282" t="s">
        <v>64</v>
      </c>
    </row>
    <row r="4" spans="1:9" ht="13" x14ac:dyDescent="0.3">
      <c r="A4" s="135" t="s">
        <v>206</v>
      </c>
      <c r="B4" s="52"/>
      <c r="C4" s="52"/>
      <c r="D4" s="52"/>
      <c r="E4" s="52"/>
      <c r="F4" s="52"/>
      <c r="G4" s="52"/>
      <c r="H4" s="176" t="s">
        <v>241</v>
      </c>
      <c r="I4" s="282" t="s">
        <v>63</v>
      </c>
    </row>
    <row r="5" spans="1:9" s="54" customFormat="1" ht="36" customHeight="1" x14ac:dyDescent="0.3">
      <c r="A5" s="156" t="s">
        <v>334</v>
      </c>
      <c r="B5" s="53" t="s">
        <v>207</v>
      </c>
      <c r="C5" s="53" t="s">
        <v>208</v>
      </c>
      <c r="D5" s="157" t="s">
        <v>209</v>
      </c>
      <c r="E5" s="146" t="s">
        <v>248</v>
      </c>
      <c r="F5" s="157" t="s">
        <v>210</v>
      </c>
      <c r="G5" s="53" t="s">
        <v>211</v>
      </c>
      <c r="H5" s="176" t="s">
        <v>242</v>
      </c>
      <c r="I5" s="282" t="s">
        <v>418</v>
      </c>
    </row>
    <row r="6" spans="1:9" ht="13" customHeight="1" x14ac:dyDescent="0.3">
      <c r="A6" s="55"/>
      <c r="B6" s="56">
        <v>0</v>
      </c>
      <c r="C6" s="56">
        <v>0</v>
      </c>
      <c r="D6" s="57" t="str">
        <f>IF(A6&gt;1,C6/B6-1,"")</f>
        <v/>
      </c>
      <c r="E6" s="58"/>
      <c r="F6" s="551" t="s">
        <v>136</v>
      </c>
      <c r="G6" s="86" t="s">
        <v>136</v>
      </c>
      <c r="H6" s="176" t="s">
        <v>243</v>
      </c>
      <c r="I6" s="282" t="s">
        <v>177</v>
      </c>
    </row>
    <row r="7" spans="1:9" ht="13" customHeight="1" x14ac:dyDescent="0.3">
      <c r="A7" s="55"/>
      <c r="B7" s="56">
        <v>0</v>
      </c>
      <c r="C7" s="56">
        <v>0</v>
      </c>
      <c r="D7" s="57" t="str">
        <f t="shared" ref="D7:D15" si="0">IF(A7&gt;1,C7/B7-1,"")</f>
        <v/>
      </c>
      <c r="E7" s="136"/>
      <c r="F7" s="552"/>
      <c r="G7" s="59" t="s">
        <v>24</v>
      </c>
      <c r="H7" s="176" t="s">
        <v>244</v>
      </c>
      <c r="I7" s="283" t="s">
        <v>189</v>
      </c>
    </row>
    <row r="8" spans="1:9" ht="13" customHeight="1" x14ac:dyDescent="0.3">
      <c r="A8" s="55"/>
      <c r="B8" s="56">
        <v>0</v>
      </c>
      <c r="C8" s="56">
        <v>0</v>
      </c>
      <c r="D8" s="57" t="str">
        <f t="shared" si="0"/>
        <v/>
      </c>
      <c r="E8" s="137"/>
      <c r="F8" s="552"/>
      <c r="G8" s="148" t="s">
        <v>136</v>
      </c>
      <c r="H8" s="176" t="s">
        <v>245</v>
      </c>
      <c r="I8" s="283" t="s">
        <v>188</v>
      </c>
    </row>
    <row r="9" spans="1:9" ht="13" customHeight="1" x14ac:dyDescent="0.3">
      <c r="A9" s="55"/>
      <c r="B9" s="56">
        <v>0</v>
      </c>
      <c r="C9" s="56">
        <v>0</v>
      </c>
      <c r="D9" s="57" t="str">
        <f t="shared" si="0"/>
        <v/>
      </c>
      <c r="E9" s="137"/>
      <c r="F9" s="552"/>
      <c r="G9" s="138"/>
      <c r="H9" s="177" t="s">
        <v>246</v>
      </c>
      <c r="I9" s="282" t="s">
        <v>161</v>
      </c>
    </row>
    <row r="10" spans="1:9" ht="13" customHeight="1" x14ac:dyDescent="0.35">
      <c r="A10" s="55"/>
      <c r="B10" s="56">
        <v>0</v>
      </c>
      <c r="C10" s="56">
        <v>0</v>
      </c>
      <c r="D10" s="57" t="str">
        <f t="shared" si="0"/>
        <v/>
      </c>
      <c r="E10" s="137"/>
      <c r="F10" s="552"/>
      <c r="G10" s="139"/>
      <c r="I10" s="335" t="s">
        <v>176</v>
      </c>
    </row>
    <row r="11" spans="1:9" ht="13" customHeight="1" x14ac:dyDescent="0.35">
      <c r="A11" s="55"/>
      <c r="B11" s="56">
        <v>0</v>
      </c>
      <c r="C11" s="56">
        <v>0</v>
      </c>
      <c r="D11" s="57" t="str">
        <f t="shared" si="0"/>
        <v/>
      </c>
      <c r="E11" s="137"/>
      <c r="F11" s="552"/>
      <c r="G11" s="139"/>
      <c r="I11" s="335" t="s">
        <v>415</v>
      </c>
    </row>
    <row r="12" spans="1:9" ht="13" customHeight="1" x14ac:dyDescent="0.35">
      <c r="A12" s="55"/>
      <c r="B12" s="56">
        <v>0</v>
      </c>
      <c r="C12" s="56">
        <v>0</v>
      </c>
      <c r="D12" s="57" t="str">
        <f t="shared" si="0"/>
        <v/>
      </c>
      <c r="E12" s="137"/>
      <c r="F12" s="552"/>
      <c r="G12" s="139"/>
      <c r="I12" s="335" t="s">
        <v>416</v>
      </c>
    </row>
    <row r="13" spans="1:9" ht="13" customHeight="1" x14ac:dyDescent="0.35">
      <c r="A13" s="55"/>
      <c r="B13" s="56">
        <v>0</v>
      </c>
      <c r="C13" s="56">
        <v>0</v>
      </c>
      <c r="D13" s="57" t="str">
        <f t="shared" si="0"/>
        <v/>
      </c>
      <c r="E13" s="137"/>
      <c r="F13" s="552"/>
      <c r="G13" s="139"/>
      <c r="I13" s="348" t="s">
        <v>449</v>
      </c>
    </row>
    <row r="14" spans="1:9" ht="13" customHeight="1" x14ac:dyDescent="0.35">
      <c r="A14" s="55"/>
      <c r="B14" s="56">
        <v>0</v>
      </c>
      <c r="C14" s="56">
        <v>0</v>
      </c>
      <c r="D14" s="57" t="str">
        <f t="shared" si="0"/>
        <v/>
      </c>
      <c r="E14" s="137"/>
      <c r="F14" s="552"/>
      <c r="G14" s="139"/>
      <c r="I14" s="282" t="s">
        <v>4</v>
      </c>
    </row>
    <row r="15" spans="1:9" ht="13" customHeight="1" x14ac:dyDescent="0.35">
      <c r="A15" s="55"/>
      <c r="B15" s="56">
        <v>0</v>
      </c>
      <c r="C15" s="56">
        <v>0</v>
      </c>
      <c r="D15" s="57" t="str">
        <f t="shared" si="0"/>
        <v/>
      </c>
      <c r="E15" s="140"/>
      <c r="F15" s="553"/>
      <c r="G15" s="141"/>
      <c r="I15" s="282" t="s">
        <v>5</v>
      </c>
    </row>
    <row r="16" spans="1:9" s="54" customFormat="1" ht="16" thickBot="1" x14ac:dyDescent="0.4">
      <c r="A16" s="63" t="s">
        <v>212</v>
      </c>
      <c r="B16" s="64">
        <f>+SUM(B6:B15)</f>
        <v>0</v>
      </c>
      <c r="C16" s="64">
        <f>+SUM(C6:C15)</f>
        <v>0</v>
      </c>
      <c r="D16" s="62" t="str">
        <f>IF((C16&gt;0),+C16/B16-1,"")</f>
        <v/>
      </c>
      <c r="E16" s="50"/>
      <c r="F16" s="50"/>
      <c r="G16" s="50"/>
      <c r="H16" s="142"/>
      <c r="I16" s="282" t="s">
        <v>162</v>
      </c>
    </row>
    <row r="17" spans="1:9" ht="16" thickTop="1" x14ac:dyDescent="0.35">
      <c r="A17" s="60"/>
      <c r="I17" s="282" t="s">
        <v>6</v>
      </c>
    </row>
    <row r="18" spans="1:9" x14ac:dyDescent="0.35">
      <c r="A18" s="135" t="s">
        <v>213</v>
      </c>
      <c r="B18" s="52"/>
      <c r="C18" s="52"/>
      <c r="D18" s="52"/>
      <c r="E18" s="52"/>
      <c r="F18" s="52"/>
      <c r="G18" s="52"/>
      <c r="I18" s="282" t="s">
        <v>7</v>
      </c>
    </row>
    <row r="19" spans="1:9" ht="36" customHeight="1" x14ac:dyDescent="0.35">
      <c r="A19" s="156" t="s">
        <v>334</v>
      </c>
      <c r="B19" s="53" t="s">
        <v>207</v>
      </c>
      <c r="C19" s="53" t="s">
        <v>208</v>
      </c>
      <c r="D19" s="157" t="s">
        <v>209</v>
      </c>
      <c r="E19" s="147" t="s">
        <v>250</v>
      </c>
      <c r="F19" s="157" t="s">
        <v>210</v>
      </c>
      <c r="G19" s="53" t="s">
        <v>211</v>
      </c>
      <c r="I19" s="357" t="s">
        <v>429</v>
      </c>
    </row>
    <row r="20" spans="1:9" ht="13" customHeight="1" x14ac:dyDescent="0.3">
      <c r="A20" s="55"/>
      <c r="B20" s="56">
        <v>0</v>
      </c>
      <c r="C20" s="56">
        <v>0</v>
      </c>
      <c r="D20" s="57" t="str">
        <f>IF(A20&gt;1,C20/B20-1,"")</f>
        <v/>
      </c>
      <c r="E20" s="58"/>
      <c r="F20" s="551"/>
      <c r="G20" s="86"/>
      <c r="H20" s="143"/>
      <c r="I20" s="363" t="s">
        <v>163</v>
      </c>
    </row>
    <row r="21" spans="1:9" ht="13" customHeight="1" x14ac:dyDescent="0.35">
      <c r="A21" s="55"/>
      <c r="B21" s="56">
        <v>0</v>
      </c>
      <c r="C21" s="56">
        <v>0</v>
      </c>
      <c r="D21" s="57" t="str">
        <f t="shared" ref="D21:D29" si="1">IF(A21&gt;1,C21/B21-1,"")</f>
        <v/>
      </c>
      <c r="E21" s="136"/>
      <c r="F21" s="552"/>
      <c r="G21" s="59" t="s">
        <v>24</v>
      </c>
      <c r="I21" s="364" t="s">
        <v>71</v>
      </c>
    </row>
    <row r="22" spans="1:9" ht="13" customHeight="1" x14ac:dyDescent="0.35">
      <c r="A22" s="55"/>
      <c r="B22" s="56">
        <v>0</v>
      </c>
      <c r="C22" s="56">
        <v>0</v>
      </c>
      <c r="D22" s="57" t="str">
        <f t="shared" si="1"/>
        <v/>
      </c>
      <c r="E22" s="137"/>
      <c r="F22" s="552"/>
      <c r="G22" s="86"/>
      <c r="I22" s="348" t="s">
        <v>386</v>
      </c>
    </row>
    <row r="23" spans="1:9" ht="13" customHeight="1" thickBot="1" x14ac:dyDescent="0.4">
      <c r="A23" s="55"/>
      <c r="B23" s="56">
        <v>0</v>
      </c>
      <c r="C23" s="56">
        <v>0</v>
      </c>
      <c r="D23" s="57" t="str">
        <f t="shared" si="1"/>
        <v/>
      </c>
      <c r="E23" s="137"/>
      <c r="F23" s="552"/>
      <c r="G23" s="138"/>
      <c r="I23" s="351" t="s">
        <v>387</v>
      </c>
    </row>
    <row r="24" spans="1:9" ht="13" customHeight="1" thickTop="1" x14ac:dyDescent="0.35">
      <c r="A24" s="55"/>
      <c r="B24" s="56">
        <v>0</v>
      </c>
      <c r="C24" s="56">
        <v>0</v>
      </c>
      <c r="D24" s="57" t="str">
        <f t="shared" si="1"/>
        <v/>
      </c>
      <c r="E24" s="137"/>
      <c r="F24" s="552"/>
      <c r="G24" s="139"/>
      <c r="I24" s="50" t="s">
        <v>456</v>
      </c>
    </row>
    <row r="25" spans="1:9" ht="13" customHeight="1" x14ac:dyDescent="0.35">
      <c r="A25" s="55"/>
      <c r="B25" s="56">
        <v>0</v>
      </c>
      <c r="C25" s="56">
        <v>0</v>
      </c>
      <c r="D25" s="57" t="str">
        <f t="shared" si="1"/>
        <v/>
      </c>
      <c r="E25" s="137"/>
      <c r="F25" s="552"/>
      <c r="G25" s="139"/>
    </row>
    <row r="26" spans="1:9" ht="13" customHeight="1" x14ac:dyDescent="0.35">
      <c r="A26" s="55"/>
      <c r="B26" s="56">
        <v>0</v>
      </c>
      <c r="C26" s="56">
        <v>0</v>
      </c>
      <c r="D26" s="57" t="str">
        <f t="shared" si="1"/>
        <v/>
      </c>
      <c r="E26" s="137"/>
      <c r="F26" s="552"/>
      <c r="G26" s="139"/>
    </row>
    <row r="27" spans="1:9" ht="13" customHeight="1" x14ac:dyDescent="0.35">
      <c r="A27" s="55"/>
      <c r="B27" s="56">
        <v>0</v>
      </c>
      <c r="C27" s="56">
        <v>0</v>
      </c>
      <c r="D27" s="57" t="str">
        <f t="shared" si="1"/>
        <v/>
      </c>
      <c r="E27" s="137"/>
      <c r="F27" s="552"/>
      <c r="G27" s="139"/>
    </row>
    <row r="28" spans="1:9" ht="13" customHeight="1" x14ac:dyDescent="0.35">
      <c r="A28" s="55"/>
      <c r="B28" s="56">
        <v>0</v>
      </c>
      <c r="C28" s="56">
        <v>0</v>
      </c>
      <c r="D28" s="57" t="str">
        <f t="shared" si="1"/>
        <v/>
      </c>
      <c r="E28" s="137"/>
      <c r="F28" s="552"/>
      <c r="G28" s="139"/>
      <c r="I28" s="54"/>
    </row>
    <row r="29" spans="1:9" ht="13" customHeight="1" x14ac:dyDescent="0.35">
      <c r="A29" s="55"/>
      <c r="B29" s="56">
        <v>0</v>
      </c>
      <c r="C29" s="56">
        <v>0</v>
      </c>
      <c r="D29" s="57" t="str">
        <f t="shared" si="1"/>
        <v/>
      </c>
      <c r="E29" s="140"/>
      <c r="F29" s="553"/>
      <c r="G29" s="141"/>
    </row>
    <row r="30" spans="1:9" ht="16" thickBot="1" x14ac:dyDescent="0.4">
      <c r="A30" s="63" t="s">
        <v>214</v>
      </c>
      <c r="B30" s="64">
        <f>+SUM(B20:B29)</f>
        <v>0</v>
      </c>
      <c r="C30" s="64">
        <f>+SUM(C20:C29)</f>
        <v>0</v>
      </c>
      <c r="D30" s="62" t="str">
        <f>IF((C30&gt;0),+C30/B30-1,"")</f>
        <v/>
      </c>
    </row>
    <row r="31" spans="1:9" s="54" customFormat="1" ht="16" thickTop="1" x14ac:dyDescent="0.35">
      <c r="A31" s="60" t="s">
        <v>80</v>
      </c>
      <c r="B31" s="61">
        <f>+B30+B16</f>
        <v>0</v>
      </c>
      <c r="C31" s="61">
        <f>+C30+C16</f>
        <v>0</v>
      </c>
      <c r="D31" s="62" t="str">
        <f>IF((C31&gt;0),+C31/B31-1,"")</f>
        <v/>
      </c>
      <c r="E31" s="50"/>
      <c r="F31" s="50"/>
      <c r="G31" s="50"/>
      <c r="H31" s="142"/>
      <c r="I31" s="50"/>
    </row>
    <row r="32" spans="1:9" x14ac:dyDescent="0.35">
      <c r="A32" s="60"/>
    </row>
    <row r="33" spans="1:9" x14ac:dyDescent="0.35">
      <c r="A33" s="135" t="s">
        <v>215</v>
      </c>
      <c r="B33" s="52"/>
      <c r="C33" s="52"/>
      <c r="D33" s="52"/>
      <c r="E33" s="52"/>
      <c r="F33" s="52"/>
      <c r="G33" s="52"/>
    </row>
    <row r="34" spans="1:9" ht="36" x14ac:dyDescent="0.35">
      <c r="A34" s="156" t="s">
        <v>334</v>
      </c>
      <c r="B34" s="53" t="s">
        <v>207</v>
      </c>
      <c r="C34" s="53" t="s">
        <v>208</v>
      </c>
      <c r="D34" s="157" t="s">
        <v>209</v>
      </c>
      <c r="E34" s="147" t="s">
        <v>250</v>
      </c>
      <c r="F34" s="157" t="s">
        <v>210</v>
      </c>
      <c r="G34" s="53" t="s">
        <v>211</v>
      </c>
    </row>
    <row r="35" spans="1:9" ht="13" customHeight="1" x14ac:dyDescent="0.3">
      <c r="A35" s="55"/>
      <c r="B35" s="56">
        <v>0</v>
      </c>
      <c r="C35" s="56">
        <v>0</v>
      </c>
      <c r="D35" s="57" t="str">
        <f>IF(A35&gt;1,C35/B35-1,"")</f>
        <v/>
      </c>
      <c r="E35" s="58"/>
      <c r="F35" s="551"/>
      <c r="G35" s="86"/>
      <c r="H35" s="143"/>
    </row>
    <row r="36" spans="1:9" ht="13" customHeight="1" x14ac:dyDescent="0.35">
      <c r="A36" s="55"/>
      <c r="B36" s="56">
        <v>0</v>
      </c>
      <c r="C36" s="56">
        <v>0</v>
      </c>
      <c r="D36" s="57" t="str">
        <f t="shared" ref="D36:D44" si="2">IF(A36&gt;1,C36/B36-1,"")</f>
        <v/>
      </c>
      <c r="E36" s="136"/>
      <c r="F36" s="552"/>
      <c r="G36" s="59" t="s">
        <v>24</v>
      </c>
    </row>
    <row r="37" spans="1:9" ht="13" customHeight="1" x14ac:dyDescent="0.35">
      <c r="A37" s="55"/>
      <c r="B37" s="56">
        <v>0</v>
      </c>
      <c r="C37" s="56">
        <v>0</v>
      </c>
      <c r="D37" s="57" t="str">
        <f t="shared" si="2"/>
        <v/>
      </c>
      <c r="E37" s="137"/>
      <c r="F37" s="552"/>
      <c r="G37" s="86"/>
    </row>
    <row r="38" spans="1:9" ht="13" customHeight="1" x14ac:dyDescent="0.35">
      <c r="A38" s="55"/>
      <c r="B38" s="56">
        <v>0</v>
      </c>
      <c r="C38" s="56">
        <v>0</v>
      </c>
      <c r="D38" s="57" t="str">
        <f t="shared" si="2"/>
        <v/>
      </c>
      <c r="E38" s="137"/>
      <c r="F38" s="552"/>
      <c r="G38" s="138"/>
    </row>
    <row r="39" spans="1:9" ht="13" customHeight="1" x14ac:dyDescent="0.35">
      <c r="A39" s="55"/>
      <c r="B39" s="56">
        <v>0</v>
      </c>
      <c r="C39" s="56">
        <v>0</v>
      </c>
      <c r="D39" s="57" t="str">
        <f t="shared" si="2"/>
        <v/>
      </c>
      <c r="E39" s="137"/>
      <c r="F39" s="552"/>
      <c r="G39" s="139"/>
    </row>
    <row r="40" spans="1:9" ht="13" customHeight="1" x14ac:dyDescent="0.35">
      <c r="A40" s="55"/>
      <c r="B40" s="56">
        <v>0</v>
      </c>
      <c r="C40" s="56">
        <v>0</v>
      </c>
      <c r="D40" s="57" t="str">
        <f t="shared" si="2"/>
        <v/>
      </c>
      <c r="E40" s="137"/>
      <c r="F40" s="552"/>
      <c r="G40" s="139"/>
    </row>
    <row r="41" spans="1:9" ht="13" customHeight="1" x14ac:dyDescent="0.35">
      <c r="A41" s="55"/>
      <c r="B41" s="56">
        <v>0</v>
      </c>
      <c r="C41" s="56">
        <v>0</v>
      </c>
      <c r="D41" s="57" t="str">
        <f t="shared" si="2"/>
        <v/>
      </c>
      <c r="E41" s="137"/>
      <c r="F41" s="552"/>
      <c r="G41" s="139"/>
    </row>
    <row r="42" spans="1:9" ht="13" customHeight="1" x14ac:dyDescent="0.35">
      <c r="A42" s="55"/>
      <c r="B42" s="56">
        <v>0</v>
      </c>
      <c r="C42" s="56">
        <v>0</v>
      </c>
      <c r="D42" s="57" t="str">
        <f t="shared" si="2"/>
        <v/>
      </c>
      <c r="E42" s="137"/>
      <c r="F42" s="552"/>
      <c r="G42" s="139"/>
    </row>
    <row r="43" spans="1:9" ht="13" customHeight="1" x14ac:dyDescent="0.35">
      <c r="A43" s="55"/>
      <c r="B43" s="56">
        <v>0</v>
      </c>
      <c r="C43" s="56">
        <v>0</v>
      </c>
      <c r="D43" s="57" t="str">
        <f t="shared" si="2"/>
        <v/>
      </c>
      <c r="E43" s="137"/>
      <c r="F43" s="552"/>
      <c r="G43" s="139"/>
    </row>
    <row r="44" spans="1:9" ht="13" customHeight="1" x14ac:dyDescent="0.35">
      <c r="A44" s="55"/>
      <c r="B44" s="56">
        <v>0</v>
      </c>
      <c r="C44" s="56">
        <v>0</v>
      </c>
      <c r="D44" s="57" t="str">
        <f t="shared" si="2"/>
        <v/>
      </c>
      <c r="E44" s="140"/>
      <c r="F44" s="553"/>
      <c r="G44" s="141"/>
    </row>
    <row r="45" spans="1:9" ht="16" thickBot="1" x14ac:dyDescent="0.4">
      <c r="A45" s="63" t="s">
        <v>216</v>
      </c>
      <c r="B45" s="64">
        <f>+SUM(B35:B44)</f>
        <v>0</v>
      </c>
      <c r="C45" s="64">
        <f>+SUM(C35:C44)</f>
        <v>0</v>
      </c>
      <c r="D45" s="62" t="str">
        <f>IF((C45&gt;0),+C45/B45-1,"")</f>
        <v/>
      </c>
    </row>
    <row r="46" spans="1:9" s="54" customFormat="1" ht="16" thickTop="1" x14ac:dyDescent="0.35">
      <c r="A46" s="60" t="s">
        <v>80</v>
      </c>
      <c r="B46" s="61">
        <f>B45+B31</f>
        <v>0</v>
      </c>
      <c r="C46" s="61">
        <f>C45+C31</f>
        <v>0</v>
      </c>
      <c r="D46" s="62" t="str">
        <f>IF((C46&gt;0),+C46/B46-1,"")</f>
        <v/>
      </c>
      <c r="E46" s="50"/>
      <c r="F46" s="50"/>
      <c r="G46" s="50"/>
      <c r="H46" s="142"/>
      <c r="I46" s="50"/>
    </row>
    <row r="47" spans="1:9" x14ac:dyDescent="0.35">
      <c r="A47" s="60"/>
    </row>
    <row r="48" spans="1:9" x14ac:dyDescent="0.35">
      <c r="A48" s="135" t="s">
        <v>217</v>
      </c>
      <c r="B48" s="52"/>
      <c r="C48" s="52"/>
      <c r="D48" s="52"/>
      <c r="E48" s="52"/>
      <c r="F48" s="52"/>
      <c r="G48" s="52"/>
    </row>
    <row r="49" spans="1:8" ht="36" x14ac:dyDescent="0.35">
      <c r="A49" s="156" t="s">
        <v>334</v>
      </c>
      <c r="B49" s="53" t="s">
        <v>207</v>
      </c>
      <c r="C49" s="53" t="s">
        <v>208</v>
      </c>
      <c r="D49" s="157" t="s">
        <v>209</v>
      </c>
      <c r="E49" s="146" t="s">
        <v>249</v>
      </c>
      <c r="F49" s="157" t="s">
        <v>210</v>
      </c>
      <c r="G49" s="53" t="s">
        <v>211</v>
      </c>
    </row>
    <row r="50" spans="1:8" ht="13" customHeight="1" x14ac:dyDescent="0.3">
      <c r="A50" s="55"/>
      <c r="B50" s="56">
        <v>0</v>
      </c>
      <c r="C50" s="56">
        <v>0</v>
      </c>
      <c r="D50" s="57" t="str">
        <f>IF(A50&gt;1,C50/B50-1,"")</f>
        <v/>
      </c>
      <c r="E50" s="58"/>
      <c r="F50" s="551"/>
      <c r="G50" s="86"/>
      <c r="H50" s="143"/>
    </row>
    <row r="51" spans="1:8" ht="13" customHeight="1" x14ac:dyDescent="0.35">
      <c r="A51" s="55"/>
      <c r="B51" s="56">
        <v>0</v>
      </c>
      <c r="C51" s="56">
        <v>0</v>
      </c>
      <c r="D51" s="57" t="str">
        <f t="shared" ref="D51:D59" si="3">IF(A51&gt;1,C51/B51-1,"")</f>
        <v/>
      </c>
      <c r="E51" s="136"/>
      <c r="F51" s="552"/>
      <c r="G51" s="59" t="s">
        <v>24</v>
      </c>
    </row>
    <row r="52" spans="1:8" ht="13" customHeight="1" x14ac:dyDescent="0.35">
      <c r="A52" s="55"/>
      <c r="B52" s="56">
        <v>0</v>
      </c>
      <c r="C52" s="56">
        <v>0</v>
      </c>
      <c r="D52" s="57" t="str">
        <f t="shared" si="3"/>
        <v/>
      </c>
      <c r="E52" s="137"/>
      <c r="F52" s="552"/>
      <c r="G52" s="86"/>
    </row>
    <row r="53" spans="1:8" ht="13" customHeight="1" x14ac:dyDescent="0.35">
      <c r="A53" s="55"/>
      <c r="B53" s="56">
        <v>0</v>
      </c>
      <c r="C53" s="56">
        <v>0</v>
      </c>
      <c r="D53" s="57" t="str">
        <f t="shared" si="3"/>
        <v/>
      </c>
      <c r="E53" s="137"/>
      <c r="F53" s="552"/>
      <c r="G53" s="138"/>
    </row>
    <row r="54" spans="1:8" ht="13" customHeight="1" x14ac:dyDescent="0.35">
      <c r="A54" s="55"/>
      <c r="B54" s="56">
        <v>0</v>
      </c>
      <c r="C54" s="56">
        <v>0</v>
      </c>
      <c r="D54" s="57" t="str">
        <f t="shared" si="3"/>
        <v/>
      </c>
      <c r="E54" s="137"/>
      <c r="F54" s="552"/>
      <c r="G54" s="139"/>
    </row>
    <row r="55" spans="1:8" ht="13" customHeight="1" x14ac:dyDescent="0.35">
      <c r="A55" s="55"/>
      <c r="B55" s="56">
        <v>0</v>
      </c>
      <c r="C55" s="56">
        <v>0</v>
      </c>
      <c r="D55" s="57" t="str">
        <f t="shared" si="3"/>
        <v/>
      </c>
      <c r="E55" s="137"/>
      <c r="F55" s="552"/>
      <c r="G55" s="139"/>
    </row>
    <row r="56" spans="1:8" ht="13" customHeight="1" x14ac:dyDescent="0.35">
      <c r="A56" s="55"/>
      <c r="B56" s="56">
        <v>0</v>
      </c>
      <c r="C56" s="56">
        <v>0</v>
      </c>
      <c r="D56" s="57" t="str">
        <f t="shared" si="3"/>
        <v/>
      </c>
      <c r="E56" s="137"/>
      <c r="F56" s="552"/>
      <c r="G56" s="139"/>
    </row>
    <row r="57" spans="1:8" ht="13" customHeight="1" x14ac:dyDescent="0.35">
      <c r="A57" s="55"/>
      <c r="B57" s="56">
        <v>0</v>
      </c>
      <c r="C57" s="56">
        <v>0</v>
      </c>
      <c r="D57" s="57" t="str">
        <f t="shared" si="3"/>
        <v/>
      </c>
      <c r="E57" s="137"/>
      <c r="F57" s="552"/>
      <c r="G57" s="139"/>
    </row>
    <row r="58" spans="1:8" ht="13" customHeight="1" x14ac:dyDescent="0.35">
      <c r="A58" s="55"/>
      <c r="B58" s="56">
        <v>0</v>
      </c>
      <c r="C58" s="56">
        <v>0</v>
      </c>
      <c r="D58" s="57" t="str">
        <f t="shared" si="3"/>
        <v/>
      </c>
      <c r="E58" s="137"/>
      <c r="F58" s="552"/>
      <c r="G58" s="139"/>
    </row>
    <row r="59" spans="1:8" ht="13" customHeight="1" x14ac:dyDescent="0.35">
      <c r="A59" s="55"/>
      <c r="B59" s="56">
        <v>0</v>
      </c>
      <c r="C59" s="56">
        <v>0</v>
      </c>
      <c r="D59" s="57" t="str">
        <f t="shared" si="3"/>
        <v/>
      </c>
      <c r="E59" s="140"/>
      <c r="F59" s="553"/>
      <c r="G59" s="141"/>
    </row>
    <row r="60" spans="1:8" ht="16" thickBot="1" x14ac:dyDescent="0.4">
      <c r="A60" s="63" t="s">
        <v>218</v>
      </c>
      <c r="B60" s="64">
        <f>+SUM(B50:B59)</f>
        <v>0</v>
      </c>
      <c r="C60" s="64">
        <f>+SUM(C50:C59)</f>
        <v>0</v>
      </c>
      <c r="D60" s="62" t="str">
        <f>IF((C60&gt;0),+C60/B60-1,"")</f>
        <v/>
      </c>
    </row>
    <row r="61" spans="1:8" ht="16" thickTop="1" x14ac:dyDescent="0.35">
      <c r="A61" s="60" t="s">
        <v>80</v>
      </c>
      <c r="B61" s="61">
        <f>B60+B46</f>
        <v>0</v>
      </c>
      <c r="C61" s="61">
        <f>C60+C46</f>
        <v>0</v>
      </c>
      <c r="D61" s="62" t="str">
        <f>IF((C61&gt;0),+C61/B61-1,"")</f>
        <v/>
      </c>
    </row>
    <row r="62" spans="1:8" x14ac:dyDescent="0.35">
      <c r="A62" s="81" t="s">
        <v>121</v>
      </c>
    </row>
    <row r="63" spans="1:8" x14ac:dyDescent="0.35"/>
    <row r="64" spans="1:8" x14ac:dyDescent="0.35"/>
    <row r="65" x14ac:dyDescent="0.35"/>
    <row r="66" x14ac:dyDescent="0.35"/>
    <row r="67" x14ac:dyDescent="0.35"/>
    <row r="68" x14ac:dyDescent="0.35"/>
  </sheetData>
  <sheetProtection algorithmName="SHA-512" hashValue="qeyj3NXICO27JzI3ZOADbPY5+dbefGE9fgSPolMqdBUXMqPAPHH2x6yUu37fsfYEOtKu7SvVNrvLIEOrIS+tQw==" saltValue="nym5AgQREIhLnl8Vga5qVg==" spinCount="100000" sheet="1" objects="1" scenarios="1"/>
  <dataConsolidate/>
  <mergeCells count="4">
    <mergeCell ref="F6:F15"/>
    <mergeCell ref="F20:F29"/>
    <mergeCell ref="F35:F44"/>
    <mergeCell ref="F50:F59"/>
  </mergeCells>
  <dataValidations xWindow="1085" yWindow="333" count="25">
    <dataValidation allowBlank="1" showInputMessage="1" showErrorMessage="1" promptTitle="Budget Revision 4" prompt="Description of the requested budget revision" sqref="F50:F59" xr:uid="{00000000-0002-0000-0A00-000000000000}"/>
    <dataValidation allowBlank="1" showInputMessage="1" showErrorMessage="1" promptTitle="Budget Revision 1" prompt="Enter date budget revision is being requested." sqref="E6" xr:uid="{00000000-0002-0000-0A00-000001000000}"/>
    <dataValidation allowBlank="1" showInputMessage="1" showErrorMessage="1" promptTitle="Change Order Four" prompt="Difference, in percentage, between original and revised cost estimate for line item selected in Column A." sqref="D50:D59" xr:uid="{00000000-0002-0000-0A00-000002000000}"/>
    <dataValidation allowBlank="1" showInputMessage="1" showErrorMessage="1" promptTitle="Change Order Three" prompt="Difference, in percentage, between original and revised cost estimate for line item selected in Column A." sqref="D35:D44" xr:uid="{00000000-0002-0000-0A00-000003000000}"/>
    <dataValidation allowBlank="1" showInputMessage="1" showErrorMessage="1" promptTitle="Change Order One" prompt="Difference, in percentage, between original and revised cost estimate for line item selected in Column A." sqref="D6:D15" xr:uid="{00000000-0002-0000-0A00-000004000000}"/>
    <dataValidation allowBlank="1" showInputMessage="1" showErrorMessage="1" promptTitle="Change Order Two" prompt="Difference, in percentage, between original and revised cost estimate for line item selected in Column A." sqref="D20:D29" xr:uid="{00000000-0002-0000-0A00-000005000000}"/>
    <dataValidation allowBlank="1" showInputMessage="1" showErrorMessage="1" promptTitle="Budget Revision 1" prompt="Description of the requested budget revision" sqref="F6:F15" xr:uid="{00000000-0002-0000-0A00-000006000000}"/>
    <dataValidation allowBlank="1" showInputMessage="1" showErrorMessage="1" promptTitle="Budget Revision 2" prompt="Enter date budget revision is being requested." sqref="E20" xr:uid="{00000000-0002-0000-0A00-000007000000}"/>
    <dataValidation allowBlank="1" showInputMessage="1" showErrorMessage="1" promptTitle="Budget Revision 2" prompt="Description of the requested budget revision" sqref="F20:F29" xr:uid="{00000000-0002-0000-0A00-000008000000}"/>
    <dataValidation allowBlank="1" showInputMessage="1" showErrorMessage="1" promptTitle="Revision 3" prompt="Enter the approved line-item budget amount from the Final Budget tab." sqref="B35:B44" xr:uid="{00000000-0002-0000-0A00-000009000000}"/>
    <dataValidation allowBlank="1" showInputMessage="1" showErrorMessage="1" promptTitle="Revision 3" prompt="Enter the requested revised budget amount." sqref="C35:C44" xr:uid="{00000000-0002-0000-0A00-00000A000000}"/>
    <dataValidation allowBlank="1" showInputMessage="1" showErrorMessage="1" promptTitle="Budget Revision 3" prompt="Enter date budget revision is being requested." sqref="E35" xr:uid="{00000000-0002-0000-0A00-00000B000000}"/>
    <dataValidation allowBlank="1" showInputMessage="1" showErrorMessage="1" promptTitle="Budget Revision 3" prompt="Description of the requested budget revision" sqref="F35:F44" xr:uid="{00000000-0002-0000-0A00-00000C000000}"/>
    <dataValidation allowBlank="1" showInputMessage="1" showErrorMessage="1" promptTitle="Revision 2" prompt="Enter the requested revised budget amount." sqref="C20:C29" xr:uid="{00000000-0002-0000-0A00-00000D000000}"/>
    <dataValidation allowBlank="1" showInputMessage="1" showErrorMessage="1" promptTitle="Revision 2" prompt="Enter the approved line-item budget amount from the Final Budget tab." sqref="B20:B29" xr:uid="{00000000-0002-0000-0A00-00000E000000}"/>
    <dataValidation allowBlank="1" showInputMessage="1" showErrorMessage="1" promptTitle="Revision 1" prompt="Original Cost Estimate" sqref="B6:B15" xr:uid="{00000000-0002-0000-0A00-00000F000000}"/>
    <dataValidation allowBlank="1" showInputMessage="1" showErrorMessage="1" promptTitle="Revision 1" prompt="Enter the requested revised budget amount." sqref="C6:C15" xr:uid="{00000000-0002-0000-0A00-000010000000}"/>
    <dataValidation allowBlank="1" showInputMessage="1" showErrorMessage="1" promptTitle="Revision 4" prompt="Enter the approved line-item budget amount from the Final Budget tab." sqref="B50:B59" xr:uid="{00000000-0002-0000-0A00-000011000000}"/>
    <dataValidation allowBlank="1" showInputMessage="1" showErrorMessage="1" promptTitle="Revision 4" prompt="Enter the requested revised budget amount." sqref="C50:C59" xr:uid="{00000000-0002-0000-0A00-000012000000}"/>
    <dataValidation allowBlank="1" showInputMessage="1" showErrorMessage="1" promptTitle="Budget Revision 4" prompt="Enter date budget revision is being requested." sqref="E50" xr:uid="{00000000-0002-0000-0A00-000013000000}"/>
    <dataValidation type="list" allowBlank="1" showInputMessage="1" showErrorMessage="1" promptTitle="Budget Revision 1" prompt="Select the cost category item from the approved Final Budget for which a budget revision is being requested. " sqref="A6:A15" xr:uid="{00000000-0002-0000-0A00-000014000000}">
      <formula1>$I$3:$I$24</formula1>
    </dataValidation>
    <dataValidation type="list" allowBlank="1" showInputMessage="1" showErrorMessage="1" promptTitle="Budget Revision 2 " prompt="Select the cost category item from the approved Final Budget for which a budget revision is being requested. " sqref="A22" xr:uid="{00000000-0002-0000-0A00-000015000000}">
      <formula1>$I$3:$I$23</formula1>
    </dataValidation>
    <dataValidation type="list" allowBlank="1" showInputMessage="1" showErrorMessage="1" promptTitle="Budget Revision 3" prompt="Select the cost category item from the approved Final Budget for which a budget revision is being requested. " sqref="A35:A44" xr:uid="{00000000-0002-0000-0A00-000016000000}">
      <formula1>$I$3:$I$24</formula1>
    </dataValidation>
    <dataValidation type="list" allowBlank="1" showInputMessage="1" showErrorMessage="1" promptTitle="Budget Revision 4" prompt="Select the cost category item from the approved Final Budget for which a budget revision is being requested. " sqref="A50:A59" xr:uid="{00000000-0002-0000-0A00-000017000000}">
      <formula1>$I$3:$I$24</formula1>
    </dataValidation>
    <dataValidation type="list" allowBlank="1" showInputMessage="1" showErrorMessage="1" promptTitle="Budget Revision 2 " prompt="Select the cost category item from the approved Final Budget for which a budget revision is being requested. " sqref="A20 A21 A23 A24 A25 A26 A27 A28 A29" xr:uid="{00000000-0002-0000-0A00-000019000000}">
      <formula1>$I$3:$I$24</formula1>
    </dataValidation>
  </dataValidations>
  <hyperlinks>
    <hyperlink ref="H2" location="'Budget Revision'!C_0_1" display="Beginning of Budget Revision 1" xr:uid="{00000000-0004-0000-0A00-000000000000}"/>
    <hyperlink ref="H3" location="'Budget Revision'!C_O_1_TOTAL" display="Budget Revision Totals" xr:uid="{00000000-0004-0000-0A00-000001000000}"/>
    <hyperlink ref="H4" location="'Budget Revision'!C_O_2" display="Beginning of Budget Revision 2" xr:uid="{00000000-0004-0000-0A00-000002000000}"/>
    <hyperlink ref="H5" location="'Budget Revision'!C_O_2_TOTAL" display="Budget Revision 2 Totals" xr:uid="{00000000-0004-0000-0A00-000003000000}"/>
    <hyperlink ref="H6" location="'Budget Revision'!C_O_3" display="Beginning of Budget Revision 3" xr:uid="{00000000-0004-0000-0A00-000004000000}"/>
    <hyperlink ref="H7" location="'Budget Revision'!C_O_3_TOTAL" display="Budget Revision 3 Totals" xr:uid="{00000000-0004-0000-0A00-000005000000}"/>
    <hyperlink ref="H8" location="'Budget Revision'!C_O_4" display="Beginning of Budget Revision 4" xr:uid="{00000000-0004-0000-0A00-000006000000}"/>
    <hyperlink ref="H9" location="'Budget Revision'!C_O_4_Total" display="Budget Revision 4 Totals" xr:uid="{00000000-0004-0000-0A00-000007000000}"/>
    <hyperlink ref="A1" location="REV_NAV_LINKS" display="Use the tab key to complete the form.  Use the list of links or use the arrow keys to access locked cells." xr:uid="{00000000-0004-0000-0A00-000008000000}"/>
    <hyperlink ref="A62" location="'Table of Contents'!A1" display="Click to return to the Table of Contents" xr:uid="{00000000-0004-0000-0A00-000009000000}"/>
  </hyperlinks>
  <pageMargins left="0.25" right="0.25" top="0.25" bottom="0.25" header="0" footer="0"/>
  <pageSetup orientation="landscape" r:id="rId1"/>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46"/>
  <sheetViews>
    <sheetView showGridLines="0" showRuler="0" view="pageLayout" zoomScaleNormal="100" workbookViewId="0">
      <selection activeCell="A34" sqref="A34"/>
    </sheetView>
  </sheetViews>
  <sheetFormatPr defaultColWidth="0" defaultRowHeight="14.5" x14ac:dyDescent="0.35"/>
  <cols>
    <col min="1" max="1" width="36" style="40" customWidth="1"/>
    <col min="2" max="2" width="64.453125" style="40" customWidth="1"/>
    <col min="3" max="3" width="0" style="40" hidden="1" customWidth="1"/>
    <col min="4" max="16384" width="0" style="40" hidden="1"/>
  </cols>
  <sheetData>
    <row r="1" spans="1:2" ht="39.75" customHeight="1" thickBot="1" x14ac:dyDescent="0.4">
      <c r="A1" s="483" t="s">
        <v>144</v>
      </c>
      <c r="B1" s="484"/>
    </row>
    <row r="2" spans="1:2" ht="66.75" customHeight="1" x14ac:dyDescent="0.35">
      <c r="A2" s="485" t="s">
        <v>261</v>
      </c>
      <c r="B2" s="486"/>
    </row>
    <row r="3" spans="1:2" x14ac:dyDescent="0.35">
      <c r="A3" s="87" t="s">
        <v>85</v>
      </c>
      <c r="B3" s="88"/>
    </row>
    <row r="4" spans="1:2" x14ac:dyDescent="0.35">
      <c r="A4" s="42" t="s">
        <v>86</v>
      </c>
      <c r="B4" s="43" t="s">
        <v>87</v>
      </c>
    </row>
    <row r="5" spans="1:2" ht="26" x14ac:dyDescent="0.35">
      <c r="A5" s="42" t="s">
        <v>88</v>
      </c>
      <c r="B5" s="43" t="s">
        <v>272</v>
      </c>
    </row>
    <row r="6" spans="1:2" ht="26" x14ac:dyDescent="0.35">
      <c r="A6" s="42" t="s">
        <v>90</v>
      </c>
      <c r="B6" s="43" t="s">
        <v>262</v>
      </c>
    </row>
    <row r="7" spans="1:2" ht="26" x14ac:dyDescent="0.35">
      <c r="A7" s="42" t="s">
        <v>91</v>
      </c>
      <c r="B7" s="43" t="s">
        <v>436</v>
      </c>
    </row>
    <row r="8" spans="1:2" x14ac:dyDescent="0.35">
      <c r="A8" s="45" t="s">
        <v>3</v>
      </c>
      <c r="B8" s="43" t="s">
        <v>134</v>
      </c>
    </row>
    <row r="9" spans="1:2" x14ac:dyDescent="0.35">
      <c r="A9" s="45" t="s">
        <v>1</v>
      </c>
      <c r="B9" s="43" t="s">
        <v>437</v>
      </c>
    </row>
    <row r="10" spans="1:2" x14ac:dyDescent="0.35">
      <c r="A10" s="45" t="s">
        <v>8</v>
      </c>
      <c r="B10" s="43" t="s">
        <v>263</v>
      </c>
    </row>
    <row r="11" spans="1:2" x14ac:dyDescent="0.35">
      <c r="A11" s="45" t="s">
        <v>414</v>
      </c>
      <c r="B11" s="43" t="s">
        <v>459</v>
      </c>
    </row>
    <row r="12" spans="1:2" ht="52" x14ac:dyDescent="0.35">
      <c r="A12" s="45" t="s">
        <v>84</v>
      </c>
      <c r="B12" s="43" t="s">
        <v>264</v>
      </c>
    </row>
    <row r="13" spans="1:2" x14ac:dyDescent="0.35">
      <c r="A13" s="89" t="s">
        <v>94</v>
      </c>
      <c r="B13" s="90"/>
    </row>
    <row r="14" spans="1:2" ht="39" x14ac:dyDescent="0.35">
      <c r="A14" s="46" t="s">
        <v>266</v>
      </c>
      <c r="B14" s="43" t="s">
        <v>265</v>
      </c>
    </row>
    <row r="15" spans="1:2" ht="26" x14ac:dyDescent="0.35">
      <c r="A15" s="46" t="s">
        <v>276</v>
      </c>
      <c r="B15" s="43" t="s">
        <v>267</v>
      </c>
    </row>
    <row r="16" spans="1:2" ht="26" x14ac:dyDescent="0.35">
      <c r="A16" s="46" t="s">
        <v>81</v>
      </c>
      <c r="B16" s="43" t="s">
        <v>460</v>
      </c>
    </row>
    <row r="17" spans="1:2" ht="26" x14ac:dyDescent="0.35">
      <c r="A17" s="46" t="s">
        <v>95</v>
      </c>
      <c r="B17" s="43" t="s">
        <v>268</v>
      </c>
    </row>
    <row r="18" spans="1:2" ht="26" x14ac:dyDescent="0.35">
      <c r="A18" s="46" t="s">
        <v>269</v>
      </c>
      <c r="B18" s="43" t="s">
        <v>451</v>
      </c>
    </row>
    <row r="19" spans="1:2" ht="26" x14ac:dyDescent="0.35">
      <c r="A19" s="46" t="s">
        <v>96</v>
      </c>
      <c r="B19" s="43" t="s">
        <v>270</v>
      </c>
    </row>
    <row r="20" spans="1:2" ht="30" customHeight="1" x14ac:dyDescent="0.35">
      <c r="A20" s="46" t="s">
        <v>82</v>
      </c>
      <c r="B20" s="43" t="s">
        <v>461</v>
      </c>
    </row>
    <row r="21" spans="1:2" ht="39" x14ac:dyDescent="0.35">
      <c r="A21" s="45" t="s">
        <v>83</v>
      </c>
      <c r="B21" s="43" t="s">
        <v>462</v>
      </c>
    </row>
    <row r="22" spans="1:2" ht="39" x14ac:dyDescent="0.35">
      <c r="A22" s="41" t="s">
        <v>463</v>
      </c>
      <c r="B22" s="47"/>
    </row>
    <row r="23" spans="1:2" x14ac:dyDescent="0.35">
      <c r="A23" s="45" t="s">
        <v>64</v>
      </c>
      <c r="B23" s="43" t="s">
        <v>285</v>
      </c>
    </row>
    <row r="24" spans="1:2" ht="26" x14ac:dyDescent="0.35">
      <c r="A24" s="45" t="s">
        <v>63</v>
      </c>
      <c r="B24" s="43" t="s">
        <v>464</v>
      </c>
    </row>
    <row r="25" spans="1:2" ht="26" x14ac:dyDescent="0.35">
      <c r="A25" s="41" t="s">
        <v>271</v>
      </c>
      <c r="B25" s="47"/>
    </row>
    <row r="26" spans="1:2" ht="26" x14ac:dyDescent="0.35">
      <c r="A26" s="45" t="s">
        <v>190</v>
      </c>
      <c r="B26" s="43" t="s">
        <v>274</v>
      </c>
    </row>
    <row r="27" spans="1:2" ht="26" x14ac:dyDescent="0.35">
      <c r="A27" s="45" t="s">
        <v>204</v>
      </c>
      <c r="B27" s="43" t="s">
        <v>273</v>
      </c>
    </row>
    <row r="28" spans="1:2" x14ac:dyDescent="0.35">
      <c r="A28" s="45" t="s">
        <v>189</v>
      </c>
      <c r="B28" s="43" t="s">
        <v>438</v>
      </c>
    </row>
    <row r="29" spans="1:2" ht="39" x14ac:dyDescent="0.35">
      <c r="A29" s="45" t="s">
        <v>188</v>
      </c>
      <c r="B29" s="43" t="s">
        <v>375</v>
      </c>
    </row>
    <row r="30" spans="1:2" ht="30" customHeight="1" x14ac:dyDescent="0.35">
      <c r="A30" s="45" t="s">
        <v>92</v>
      </c>
      <c r="B30" s="43" t="s">
        <v>277</v>
      </c>
    </row>
    <row r="31" spans="1:2" x14ac:dyDescent="0.35">
      <c r="A31" s="45" t="s">
        <v>161</v>
      </c>
      <c r="B31" s="43" t="s">
        <v>278</v>
      </c>
    </row>
    <row r="32" spans="1:2" ht="30" customHeight="1" x14ac:dyDescent="0.35">
      <c r="A32" s="45" t="s">
        <v>176</v>
      </c>
      <c r="B32" s="43" t="s">
        <v>279</v>
      </c>
    </row>
    <row r="33" spans="1:2" ht="26" x14ac:dyDescent="0.35">
      <c r="A33" s="45" t="s">
        <v>175</v>
      </c>
      <c r="B33" s="43" t="s">
        <v>275</v>
      </c>
    </row>
    <row r="34" spans="1:2" ht="26" x14ac:dyDescent="0.35">
      <c r="A34" s="41" t="s">
        <v>474</v>
      </c>
      <c r="B34" s="47"/>
    </row>
    <row r="35" spans="1:2" x14ac:dyDescent="0.35">
      <c r="A35" s="45" t="s">
        <v>4</v>
      </c>
      <c r="B35" s="43" t="s">
        <v>439</v>
      </c>
    </row>
    <row r="36" spans="1:2" x14ac:dyDescent="0.35">
      <c r="A36" s="45" t="s">
        <v>455</v>
      </c>
      <c r="B36" s="43" t="s">
        <v>457</v>
      </c>
    </row>
    <row r="37" spans="1:2" ht="26" x14ac:dyDescent="0.35">
      <c r="A37" s="45" t="s">
        <v>5</v>
      </c>
      <c r="B37" s="43" t="s">
        <v>280</v>
      </c>
    </row>
    <row r="38" spans="1:2" x14ac:dyDescent="0.35">
      <c r="A38" s="45" t="s">
        <v>162</v>
      </c>
      <c r="B38" s="43" t="s">
        <v>281</v>
      </c>
    </row>
    <row r="39" spans="1:2" ht="16.5" customHeight="1" x14ac:dyDescent="0.35">
      <c r="A39" s="45" t="s">
        <v>6</v>
      </c>
      <c r="B39" s="43" t="s">
        <v>282</v>
      </c>
    </row>
    <row r="40" spans="1:2" x14ac:dyDescent="0.35">
      <c r="A40" s="45" t="s">
        <v>7</v>
      </c>
      <c r="B40" s="43" t="s">
        <v>283</v>
      </c>
    </row>
    <row r="41" spans="1:2" x14ac:dyDescent="0.35">
      <c r="A41" s="45" t="s">
        <v>9</v>
      </c>
      <c r="B41" s="43" t="s">
        <v>284</v>
      </c>
    </row>
    <row r="42" spans="1:2" ht="32" customHeight="1" x14ac:dyDescent="0.35">
      <c r="A42" s="41" t="s">
        <v>97</v>
      </c>
      <c r="B42" s="47"/>
    </row>
    <row r="43" spans="1:2" ht="65" x14ac:dyDescent="0.35">
      <c r="A43" s="45" t="s">
        <v>93</v>
      </c>
      <c r="B43" s="43" t="s">
        <v>135</v>
      </c>
    </row>
    <row r="44" spans="1:2" x14ac:dyDescent="0.35">
      <c r="A44" s="45" t="s">
        <v>191</v>
      </c>
      <c r="B44" s="43" t="s">
        <v>286</v>
      </c>
    </row>
    <row r="45" spans="1:2" ht="52" x14ac:dyDescent="0.35">
      <c r="A45" s="45" t="s">
        <v>465</v>
      </c>
      <c r="B45" s="43" t="s">
        <v>440</v>
      </c>
    </row>
    <row r="46" spans="1:2" x14ac:dyDescent="0.35">
      <c r="A46" s="81" t="s">
        <v>121</v>
      </c>
    </row>
  </sheetData>
  <mergeCells count="2">
    <mergeCell ref="A1:B1"/>
    <mergeCell ref="A2:B2"/>
  </mergeCells>
  <hyperlinks>
    <hyperlink ref="A46" location="'Table of Contents'!A1" display="Click to return to the Table of Contents" xr:uid="{00000000-0004-0000-0100-000000000000}"/>
  </hyperlinks>
  <pageMargins left="0.25" right="0.25" top="0.25" bottom="0.25" header="0" footer="0"/>
  <pageSetup orientation="portrait" r:id="rId1"/>
  <headerFooter>
    <oddFooter>&amp;C&amp;P</oddFooter>
  </headerFooter>
  <rowBreaks count="1" manualBreakCount="1">
    <brk id="2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IV133"/>
  <sheetViews>
    <sheetView showGridLines="0" showRuler="0" showWhiteSpace="0" zoomScale="80" zoomScaleNormal="80" zoomScaleSheetLayoutView="90" workbookViewId="0">
      <selection activeCell="B2" sqref="B2"/>
    </sheetView>
  </sheetViews>
  <sheetFormatPr defaultColWidth="0" defaultRowHeight="13" zeroHeight="1" x14ac:dyDescent="0.3"/>
  <cols>
    <col min="1" max="1" width="38.453125" style="276" customWidth="1"/>
    <col min="2" max="2" width="15.81640625" style="276" customWidth="1"/>
    <col min="3" max="5" width="15.54296875" style="276" customWidth="1"/>
    <col min="6" max="6" width="10.81640625" style="301" customWidth="1"/>
    <col min="7" max="7" width="23.453125" style="276" customWidth="1"/>
    <col min="8" max="8" width="15.54296875" style="276" customWidth="1"/>
    <col min="9" max="9" width="17.81640625" style="276" customWidth="1"/>
    <col min="10" max="10" width="1.1796875" style="346" customWidth="1"/>
    <col min="11" max="11" width="39.453125" style="276" hidden="1" customWidth="1"/>
    <col min="12" max="12" width="13.81640625" style="331" hidden="1" customWidth="1"/>
    <col min="13" max="13" width="29.1796875" style="276" hidden="1" customWidth="1"/>
    <col min="14" max="14" width="18.1796875" style="276" hidden="1" customWidth="1"/>
    <col min="15" max="15" width="15.54296875" style="276" hidden="1" customWidth="1"/>
    <col min="16" max="16" width="9.1796875" style="276" hidden="1" customWidth="1"/>
    <col min="17" max="17" width="9.453125" style="276" hidden="1" customWidth="1"/>
    <col min="18" max="18" width="19.453125" style="276" hidden="1" customWidth="1"/>
    <col min="19" max="16384" width="9.1796875" style="276" hidden="1"/>
  </cols>
  <sheetData>
    <row r="1" spans="1:19" s="308" customFormat="1" ht="14.5" customHeight="1" thickBot="1" x14ac:dyDescent="0.35">
      <c r="A1" s="26" t="s">
        <v>53</v>
      </c>
      <c r="B1" s="302" t="s">
        <v>173</v>
      </c>
      <c r="C1" s="302"/>
      <c r="D1" s="302"/>
      <c r="E1" s="302"/>
      <c r="F1" s="303"/>
      <c r="G1" s="302"/>
      <c r="H1" s="302"/>
      <c r="I1" s="302"/>
      <c r="J1" s="304" t="s">
        <v>70</v>
      </c>
      <c r="K1" s="305" t="s">
        <v>13</v>
      </c>
      <c r="L1" s="306"/>
      <c r="M1" s="307" t="s">
        <v>154</v>
      </c>
      <c r="R1" s="308" t="s">
        <v>399</v>
      </c>
    </row>
    <row r="2" spans="1:19" ht="14.5" customHeight="1" x14ac:dyDescent="0.3">
      <c r="A2" s="309" t="s">
        <v>86</v>
      </c>
      <c r="B2" s="27"/>
      <c r="C2" s="496" t="s">
        <v>88</v>
      </c>
      <c r="D2" s="496"/>
      <c r="E2" s="27"/>
      <c r="F2" s="310"/>
      <c r="G2" s="276" t="s">
        <v>388</v>
      </c>
      <c r="H2" s="377"/>
      <c r="J2" s="172" t="s">
        <v>54</v>
      </c>
      <c r="K2" s="311" t="s">
        <v>64</v>
      </c>
      <c r="L2" s="312"/>
      <c r="M2" s="401"/>
      <c r="R2" s="276" t="s">
        <v>393</v>
      </c>
      <c r="S2" s="276">
        <f>SUMIF($F$9:$F$10,"Match",$E$9:$E$10)</f>
        <v>0</v>
      </c>
    </row>
    <row r="3" spans="1:19" ht="14.5" customHeight="1" x14ac:dyDescent="0.35">
      <c r="A3" s="309" t="s">
        <v>89</v>
      </c>
      <c r="B3" s="27"/>
      <c r="C3" s="496" t="s">
        <v>2</v>
      </c>
      <c r="D3" s="496"/>
      <c r="E3" s="498"/>
      <c r="F3" s="499"/>
      <c r="G3" s="313" t="s">
        <v>389</v>
      </c>
      <c r="H3" s="278" t="str">
        <f>IF(AND(H2&gt;0,C27&gt;0),H2*C27,"N/A")</f>
        <v>N/A</v>
      </c>
      <c r="J3" s="172" t="s">
        <v>55</v>
      </c>
      <c r="K3" s="314" t="s">
        <v>63</v>
      </c>
      <c r="L3" s="312"/>
      <c r="M3" s="402" t="s">
        <v>423</v>
      </c>
      <c r="R3" s="276" t="s">
        <v>394</v>
      </c>
      <c r="S3" s="276">
        <f>SUMIF($F$14:$F$24,"Match",$E$14:$E$24)</f>
        <v>0</v>
      </c>
    </row>
    <row r="4" spans="1:19" ht="14.5" customHeight="1" x14ac:dyDescent="0.3">
      <c r="A4" s="394" t="s">
        <v>420</v>
      </c>
      <c r="B4" s="27"/>
      <c r="C4" s="496" t="s">
        <v>1</v>
      </c>
      <c r="D4" s="496"/>
      <c r="E4" s="106"/>
      <c r="F4" s="310"/>
      <c r="G4" s="315"/>
      <c r="J4" s="172" t="s">
        <v>56</v>
      </c>
      <c r="K4" s="314" t="s">
        <v>418</v>
      </c>
      <c r="L4" s="316"/>
      <c r="M4" s="402" t="s">
        <v>422</v>
      </c>
      <c r="R4" s="276" t="s">
        <v>395</v>
      </c>
      <c r="S4" s="276">
        <f>SUMIF($F$35:$F$41,"Match",$E$35:$E$41)</f>
        <v>0</v>
      </c>
    </row>
    <row r="5" spans="1:19" ht="14.5" customHeight="1" x14ac:dyDescent="0.3">
      <c r="A5" s="309" t="s">
        <v>167</v>
      </c>
      <c r="B5" s="27"/>
      <c r="C5" s="496" t="s">
        <v>414</v>
      </c>
      <c r="D5" s="496"/>
      <c r="E5" s="392"/>
      <c r="F5" s="310"/>
      <c r="G5" s="315"/>
      <c r="J5" s="172" t="s">
        <v>57</v>
      </c>
      <c r="K5" s="314" t="s">
        <v>177</v>
      </c>
      <c r="L5" s="317"/>
      <c r="M5" s="403" t="s">
        <v>421</v>
      </c>
      <c r="R5" s="276" t="s">
        <v>396</v>
      </c>
      <c r="S5" s="276">
        <f>SUMIF($F$45:$F$46,"Match",$E$45:$E$46)</f>
        <v>0</v>
      </c>
    </row>
    <row r="6" spans="1:19" ht="14.5" customHeight="1" x14ac:dyDescent="0.35">
      <c r="A6" s="496"/>
      <c r="B6" s="497"/>
      <c r="C6" s="497"/>
      <c r="D6" s="497"/>
      <c r="E6" s="497"/>
      <c r="F6" s="310"/>
      <c r="G6" s="318"/>
      <c r="J6" s="172" t="s">
        <v>58</v>
      </c>
      <c r="K6" s="319" t="s">
        <v>152</v>
      </c>
      <c r="L6" s="312"/>
      <c r="M6" s="403"/>
      <c r="R6" s="276" t="s">
        <v>397</v>
      </c>
      <c r="S6" s="276">
        <f>SUM(S2:S5)</f>
        <v>0</v>
      </c>
    </row>
    <row r="7" spans="1:19" ht="51" customHeight="1" thickBot="1" x14ac:dyDescent="0.35">
      <c r="A7" s="320" t="s">
        <v>73</v>
      </c>
      <c r="B7" s="321" t="s">
        <v>168</v>
      </c>
      <c r="C7" s="321" t="s">
        <v>221</v>
      </c>
      <c r="D7" s="321" t="s">
        <v>169</v>
      </c>
      <c r="E7" s="321" t="s">
        <v>170</v>
      </c>
      <c r="F7" s="321" t="s">
        <v>238</v>
      </c>
      <c r="G7" s="321" t="s">
        <v>171</v>
      </c>
      <c r="H7" s="321" t="s">
        <v>401</v>
      </c>
      <c r="I7" s="322" t="s">
        <v>172</v>
      </c>
      <c r="J7" s="172" t="s">
        <v>59</v>
      </c>
      <c r="K7" s="314" t="s">
        <v>419</v>
      </c>
      <c r="L7" s="312"/>
      <c r="M7" s="404"/>
      <c r="R7" s="276" t="s">
        <v>400</v>
      </c>
    </row>
    <row r="8" spans="1:19" ht="13.5" thickTop="1" x14ac:dyDescent="0.3">
      <c r="A8" s="432" t="s">
        <v>220</v>
      </c>
      <c r="B8" s="433"/>
      <c r="C8" s="433"/>
      <c r="D8" s="433"/>
      <c r="E8" s="433"/>
      <c r="F8" s="433"/>
      <c r="G8" s="433"/>
      <c r="H8" s="433"/>
      <c r="I8" s="434"/>
      <c r="J8" s="172" t="s">
        <v>222</v>
      </c>
      <c r="K8" s="314" t="s">
        <v>161</v>
      </c>
      <c r="L8" s="312"/>
      <c r="M8" s="405"/>
      <c r="R8" s="276" t="s">
        <v>393</v>
      </c>
      <c r="S8" s="276">
        <f>SUMIF($F$9:$F$10,"Leverage",$E$9:$E$10)</f>
        <v>0</v>
      </c>
    </row>
    <row r="9" spans="1:19" ht="14.5" customHeight="1" x14ac:dyDescent="0.3">
      <c r="A9" s="282" t="s">
        <v>64</v>
      </c>
      <c r="B9" s="30">
        <v>0</v>
      </c>
      <c r="C9" s="30">
        <v>0</v>
      </c>
      <c r="D9" s="105">
        <f>SUMIF('Draw Request'!$C$17:$C$61,'Final Budget'!A9,'Draw Request'!$I$17:$I$61)</f>
        <v>0</v>
      </c>
      <c r="E9" s="30">
        <v>0</v>
      </c>
      <c r="F9" s="31"/>
      <c r="G9" s="32"/>
      <c r="H9" s="105">
        <f ca="1">SUMIF('Draw Request'!$C$4:$I$11,'Final Budget'!A9,'Draw Request'!$I$4:$I$11)</f>
        <v>0</v>
      </c>
      <c r="I9" s="323">
        <f ca="1">B9-D9-H9</f>
        <v>0</v>
      </c>
      <c r="J9" s="172" t="s">
        <v>223</v>
      </c>
      <c r="K9" s="314" t="s">
        <v>176</v>
      </c>
      <c r="L9" s="312"/>
      <c r="M9" s="406"/>
      <c r="R9" s="276" t="s">
        <v>394</v>
      </c>
      <c r="S9" s="276">
        <f>SUMIF($F$14:$F$20,"Leverage",$E$14:$E$20)</f>
        <v>0</v>
      </c>
    </row>
    <row r="10" spans="1:19" ht="14.5" customHeight="1" x14ac:dyDescent="0.3">
      <c r="A10" s="282" t="s">
        <v>63</v>
      </c>
      <c r="B10" s="30">
        <v>0</v>
      </c>
      <c r="C10" s="30">
        <v>0</v>
      </c>
      <c r="D10" s="105">
        <f>SUMIF('Draw Request'!$C$17:$C$61,'Final Budget'!A10,'Draw Request'!$I$17:$I$61)</f>
        <v>0</v>
      </c>
      <c r="E10" s="30">
        <v>0</v>
      </c>
      <c r="F10" s="31"/>
      <c r="G10" s="32"/>
      <c r="H10" s="105">
        <f ca="1">SUMIF('Draw Request'!$C$4:$I$11,'Final Budget'!A10,'Draw Request'!$I$4:$I$11)</f>
        <v>0</v>
      </c>
      <c r="I10" s="323">
        <f ca="1">B10-D10-H10</f>
        <v>0</v>
      </c>
      <c r="J10" s="172" t="s">
        <v>60</v>
      </c>
      <c r="K10" s="319" t="s">
        <v>175</v>
      </c>
      <c r="L10" s="312"/>
      <c r="M10" s="407"/>
      <c r="R10" s="276" t="s">
        <v>395</v>
      </c>
      <c r="S10" s="276">
        <f>SUMIF($F$35:$F$41,"Leverage",$E$35:$E$41)</f>
        <v>0</v>
      </c>
    </row>
    <row r="11" spans="1:19" ht="14.5" customHeight="1" x14ac:dyDescent="0.3">
      <c r="A11" s="282" t="s">
        <v>62</v>
      </c>
      <c r="B11" s="33">
        <f>SUM(B9:B10)</f>
        <v>0</v>
      </c>
      <c r="C11" s="33">
        <f>SUM(C9:C10)</f>
        <v>0</v>
      </c>
      <c r="D11" s="33">
        <f>SUM(D9:D10)</f>
        <v>0</v>
      </c>
      <c r="E11" s="37">
        <f>SUM(E9:E10)</f>
        <v>0</v>
      </c>
      <c r="F11" s="127"/>
      <c r="G11" s="128"/>
      <c r="H11" s="34">
        <f ca="1">SUM(H9:H10)</f>
        <v>0</v>
      </c>
      <c r="I11" s="35">
        <f ca="1">SUM(I9:I10)</f>
        <v>0</v>
      </c>
      <c r="J11" s="172" t="s">
        <v>61</v>
      </c>
      <c r="K11" s="314" t="s">
        <v>4</v>
      </c>
      <c r="L11" s="312"/>
      <c r="R11" s="276" t="s">
        <v>396</v>
      </c>
      <c r="S11" s="276">
        <f>SUMIF($F$45:$F$46,"Leverage",$E$45:$E$46)</f>
        <v>0</v>
      </c>
    </row>
    <row r="12" spans="1:19" ht="15" customHeight="1" thickBot="1" x14ac:dyDescent="0.35">
      <c r="A12" s="325"/>
      <c r="B12" s="326"/>
      <c r="C12" s="326"/>
      <c r="D12" s="326"/>
      <c r="E12" s="326"/>
      <c r="F12" s="327"/>
      <c r="G12" s="326"/>
      <c r="H12" s="326"/>
      <c r="I12" s="328"/>
      <c r="J12" s="172" t="s">
        <v>146</v>
      </c>
      <c r="K12" s="314" t="s">
        <v>5</v>
      </c>
      <c r="L12" s="312"/>
      <c r="R12" s="276" t="s">
        <v>397</v>
      </c>
      <c r="S12" s="276">
        <f>SUM(S8:S11)</f>
        <v>0</v>
      </c>
    </row>
    <row r="13" spans="1:19" ht="14.5" customHeight="1" thickTop="1" x14ac:dyDescent="0.3">
      <c r="A13" s="429" t="s">
        <v>203</v>
      </c>
      <c r="B13" s="430"/>
      <c r="C13" s="430"/>
      <c r="D13" s="430"/>
      <c r="E13" s="430"/>
      <c r="F13" s="430"/>
      <c r="G13" s="430"/>
      <c r="H13" s="430"/>
      <c r="I13" s="431"/>
      <c r="J13" s="172" t="s">
        <v>224</v>
      </c>
      <c r="K13" s="314" t="s">
        <v>162</v>
      </c>
      <c r="L13" s="312"/>
      <c r="M13" s="103" t="s">
        <v>52</v>
      </c>
      <c r="N13" s="329"/>
    </row>
    <row r="14" spans="1:19" ht="14.5" customHeight="1" x14ac:dyDescent="0.3">
      <c r="A14" s="282" t="str">
        <f>IF(B4="SFD","Off-Site Costs","Reserved for SFD.  Leave row blank.")</f>
        <v>Reserved for SFD.  Leave row blank.</v>
      </c>
      <c r="B14" s="30">
        <v>0</v>
      </c>
      <c r="C14" s="30">
        <v>0</v>
      </c>
      <c r="D14" s="105">
        <f>SUMIF('Draw Request'!$C$17:$C$61,'Final Budget'!A14,'Draw Request'!$I$17:$I$61)</f>
        <v>0</v>
      </c>
      <c r="E14" s="30">
        <v>0</v>
      </c>
      <c r="F14" s="31"/>
      <c r="G14" s="32"/>
      <c r="H14" s="105">
        <f ca="1">SUMIF('Draw Request'!$C$4:$I$11,'Final Budget'!A14,'Draw Request'!$I$4:$I$11)</f>
        <v>0</v>
      </c>
      <c r="I14" s="323">
        <f t="shared" ref="I14:I20" ca="1" si="0">B14-D14-H14</f>
        <v>0</v>
      </c>
      <c r="J14" s="172" t="s">
        <v>225</v>
      </c>
      <c r="K14" s="314" t="s">
        <v>6</v>
      </c>
      <c r="L14" s="104"/>
      <c r="M14" s="324">
        <f>SUM(B14:B19)*0.05</f>
        <v>0</v>
      </c>
    </row>
    <row r="15" spans="1:19" ht="14.5" customHeight="1" x14ac:dyDescent="0.3">
      <c r="A15" s="282" t="s">
        <v>177</v>
      </c>
      <c r="B15" s="30">
        <v>0</v>
      </c>
      <c r="C15" s="30">
        <v>0</v>
      </c>
      <c r="D15" s="105">
        <f>SUMIF('Draw Request'!$C$17:$C$61,'Final Budget'!A15,'Draw Request'!$I$17:$I$61)</f>
        <v>0</v>
      </c>
      <c r="E15" s="30">
        <v>0</v>
      </c>
      <c r="F15" s="31"/>
      <c r="G15" s="32" t="s">
        <v>136</v>
      </c>
      <c r="H15" s="105">
        <f ca="1">SUMIF('Draw Request'!$C$4:$I$11,'Final Budget'!A15,'Draw Request'!$I$4:$I$11)</f>
        <v>0</v>
      </c>
      <c r="I15" s="323">
        <f t="shared" ca="1" si="0"/>
        <v>0</v>
      </c>
      <c r="J15" s="172" t="s">
        <v>226</v>
      </c>
      <c r="K15" s="314" t="s">
        <v>7</v>
      </c>
      <c r="L15" s="312"/>
      <c r="M15" s="104"/>
      <c r="R15" s="276" t="s">
        <v>392</v>
      </c>
    </row>
    <row r="16" spans="1:19" ht="14.5" customHeight="1" x14ac:dyDescent="0.3">
      <c r="A16" s="283" t="s">
        <v>189</v>
      </c>
      <c r="B16" s="30"/>
      <c r="C16" s="30"/>
      <c r="D16" s="105">
        <f>SUMIF('Draw Request'!$C$17:$C$61,'Final Budget'!A16,'Draw Request'!$I$17:$I$61)</f>
        <v>0</v>
      </c>
      <c r="E16" s="30">
        <v>0</v>
      </c>
      <c r="F16" s="31"/>
      <c r="G16" s="32"/>
      <c r="H16" s="105">
        <f ca="1">SUMIF('Draw Request'!$C$4:$I$11,'Final Budget'!A16,'Draw Request'!$I$4:$I$11)</f>
        <v>0</v>
      </c>
      <c r="I16" s="323">
        <f t="shared" ca="1" si="0"/>
        <v>0</v>
      </c>
      <c r="J16" s="172" t="s">
        <v>65</v>
      </c>
      <c r="K16" s="330" t="s">
        <v>9</v>
      </c>
      <c r="M16" s="104"/>
      <c r="R16" s="276" t="s">
        <v>393</v>
      </c>
      <c r="S16" s="276">
        <f>SUMIF($F$9:$F$10,"Match",$H$9:$H$10)</f>
        <v>0</v>
      </c>
    </row>
    <row r="17" spans="1:256" ht="14.5" customHeight="1" x14ac:dyDescent="0.3">
      <c r="A17" s="283" t="s">
        <v>188</v>
      </c>
      <c r="B17" s="451">
        <f>$G$82</f>
        <v>0</v>
      </c>
      <c r="C17" s="30">
        <v>0</v>
      </c>
      <c r="D17" s="105">
        <f>SUMIF('Draw Request'!$C$17:$C$61,'Final Budget'!A17,'Draw Request'!$I$17:$I$61)</f>
        <v>0</v>
      </c>
      <c r="E17" s="30">
        <v>0</v>
      </c>
      <c r="F17" s="31"/>
      <c r="G17" s="32" t="s">
        <v>136</v>
      </c>
      <c r="H17" s="105">
        <f ca="1">SUMIF('Draw Request'!$C$4:$I$11,'Final Budget'!A17,'Draw Request'!$I$4:$I$11)</f>
        <v>0</v>
      </c>
      <c r="I17" s="323">
        <f t="shared" ca="1" si="0"/>
        <v>0</v>
      </c>
      <c r="J17" s="172"/>
      <c r="K17" s="319" t="s">
        <v>192</v>
      </c>
      <c r="M17" s="103"/>
      <c r="R17" s="276" t="s">
        <v>394</v>
      </c>
      <c r="S17" s="276">
        <f>SUMIF($F$14:$F$24,"Match",$H$14:$H$24)</f>
        <v>0</v>
      </c>
    </row>
    <row r="18" spans="1:256" ht="14.5" customHeight="1" x14ac:dyDescent="0.3">
      <c r="A18" s="283" t="str">
        <f>IF(B4="SFD","Building Contractor Fee","Reserved for SFD.  Leave row blank.")</f>
        <v>Reserved for SFD.  Leave row blank.</v>
      </c>
      <c r="B18" s="30">
        <v>0</v>
      </c>
      <c r="C18" s="30">
        <v>0</v>
      </c>
      <c r="D18" s="105">
        <f>SUMIF('Draw Request'!$C$17:$C$61,'Final Budget'!A18,'Draw Request'!$I$17:$I$61)</f>
        <v>0</v>
      </c>
      <c r="E18" s="30">
        <v>0</v>
      </c>
      <c r="F18" s="31"/>
      <c r="G18" s="32"/>
      <c r="H18" s="105">
        <f ca="1">SUMIF('Draw Request'!$C$4:$I$11,'Final Budget'!A18,'Draw Request'!$I$4:$I$11)</f>
        <v>0</v>
      </c>
      <c r="I18" s="323">
        <f t="shared" ca="1" si="0"/>
        <v>0</v>
      </c>
      <c r="J18" s="172" t="s">
        <v>66</v>
      </c>
      <c r="K18" s="314" t="s">
        <v>163</v>
      </c>
      <c r="L18" s="332"/>
      <c r="M18" s="103"/>
      <c r="R18" s="276" t="s">
        <v>395</v>
      </c>
      <c r="S18" s="276">
        <f>SUMIF($F$35:$F$41,"Match",$H$35:$H$41)</f>
        <v>0</v>
      </c>
    </row>
    <row r="19" spans="1:256" ht="14.5" customHeight="1" x14ac:dyDescent="0.3">
      <c r="A19" s="282" t="s">
        <v>161</v>
      </c>
      <c r="B19" s="30">
        <v>0</v>
      </c>
      <c r="C19" s="30">
        <v>0</v>
      </c>
      <c r="D19" s="105">
        <f>SUMIF('Draw Request'!$C$17:$C$61,'Final Budget'!A19,'Draw Request'!$I$17:$I$61)</f>
        <v>0</v>
      </c>
      <c r="E19" s="30">
        <v>0</v>
      </c>
      <c r="F19" s="31"/>
      <c r="G19" s="32"/>
      <c r="H19" s="105">
        <f ca="1">SUMIF('Draw Request'!$C$4:$I$11,'Final Budget'!A19,'Draw Request'!$I$4:$I$11)</f>
        <v>0</v>
      </c>
      <c r="I19" s="323">
        <f t="shared" ca="1" si="0"/>
        <v>0</v>
      </c>
      <c r="J19" s="172" t="s">
        <v>67</v>
      </c>
      <c r="K19" s="314" t="s">
        <v>71</v>
      </c>
      <c r="L19" s="333"/>
      <c r="M19" s="276" t="s">
        <v>155</v>
      </c>
      <c r="N19" s="334" t="s">
        <v>156</v>
      </c>
      <c r="O19" s="334" t="s">
        <v>435</v>
      </c>
      <c r="P19" s="334" t="s">
        <v>157</v>
      </c>
      <c r="Q19" s="276" t="s">
        <v>159</v>
      </c>
      <c r="R19" s="276" t="s">
        <v>396</v>
      </c>
      <c r="S19" s="276">
        <f>SUMIF($F$45:$F$46,"Match",$H$45:$H$46)</f>
        <v>0</v>
      </c>
    </row>
    <row r="20" spans="1:256" s="334" customFormat="1" ht="14.5" customHeight="1" thickBot="1" x14ac:dyDescent="0.35">
      <c r="A20" s="450" t="s">
        <v>176</v>
      </c>
      <c r="B20" s="30">
        <v>0</v>
      </c>
      <c r="C20" s="30">
        <v>0</v>
      </c>
      <c r="D20" s="105">
        <f>SUMIF('Draw Request'!$C$17:$C$61,'Final Budget'!A20,'Draw Request'!$I$17:$I$61)</f>
        <v>0</v>
      </c>
      <c r="E20" s="30">
        <v>0</v>
      </c>
      <c r="F20" s="31"/>
      <c r="G20" s="32"/>
      <c r="H20" s="105">
        <f ca="1">SUMIF('Draw Request'!$C$4:$I$11,'Final Budget'!A20,'Draw Request'!$I$4:$I$11)</f>
        <v>0</v>
      </c>
      <c r="I20" s="323">
        <f t="shared" ca="1" si="0"/>
        <v>0</v>
      </c>
      <c r="J20" s="446" t="s">
        <v>68</v>
      </c>
      <c r="K20" s="447" t="s">
        <v>385</v>
      </c>
      <c r="L20" s="448"/>
      <c r="M20" s="449" t="str">
        <f>CONCATENATE(B3,E3)</f>
        <v/>
      </c>
      <c r="N20" s="449" t="e">
        <f>VLOOKUP($M$20,'Final Budget Hidden Tab'!$A$2:$E$10,2,TRUE)</f>
        <v>#N/A</v>
      </c>
      <c r="O20" s="449" t="e">
        <f>VLOOKUP($M$20,'Final Budget Hidden Tab'!$A$2:$E$10,3,TRUE)</f>
        <v>#N/A</v>
      </c>
      <c r="P20" s="449" t="e">
        <f>VLOOKUP($M$20,'Final Budget Hidden Tab'!$A$2:$E$10,4,TRUE)</f>
        <v>#N/A</v>
      </c>
      <c r="Q20" s="449" t="e">
        <f>VLOOKUP($M$20,'Final Budget Hidden Tab'!$A$2:$E$10,5,TRUE)</f>
        <v>#N/A</v>
      </c>
      <c r="R20" s="449" t="s">
        <v>397</v>
      </c>
      <c r="S20" s="449">
        <f>SUM(S16:S19)</f>
        <v>0</v>
      </c>
      <c r="T20" s="449"/>
      <c r="U20" s="449"/>
      <c r="V20" s="449"/>
      <c r="W20" s="449"/>
    </row>
    <row r="21" spans="1:256" s="334" customFormat="1" ht="14.5" customHeight="1" x14ac:dyDescent="0.3">
      <c r="A21" s="336" t="s">
        <v>442</v>
      </c>
      <c r="B21" s="33">
        <f>SUM(B14:B20)</f>
        <v>0</v>
      </c>
      <c r="C21" s="33">
        <f>SUM(C14:C20)</f>
        <v>0</v>
      </c>
      <c r="D21" s="337"/>
      <c r="E21" s="338"/>
      <c r="F21" s="339"/>
      <c r="G21" s="340"/>
      <c r="H21" s="338"/>
      <c r="I21" s="341"/>
      <c r="J21" s="172" t="s">
        <v>69</v>
      </c>
      <c r="K21" s="276" t="s">
        <v>386</v>
      </c>
      <c r="L21" s="331"/>
      <c r="M21" s="334" t="s">
        <v>446</v>
      </c>
      <c r="N21" s="334" t="e">
        <f>IF(E3="MHU Replacement",N20,IF(AND(B5&gt;=5,E5&gt;=4),O20,N20))</f>
        <v>#N/A</v>
      </c>
      <c r="R21" s="334" t="s">
        <v>405</v>
      </c>
      <c r="S21" s="334" t="e">
        <f>S20/S6</f>
        <v>#DIV/0!</v>
      </c>
    </row>
    <row r="22" spans="1:256" s="334" customFormat="1" ht="14.5" customHeight="1" x14ac:dyDescent="0.3">
      <c r="A22" s="335" t="s">
        <v>415</v>
      </c>
      <c r="B22" s="30"/>
      <c r="C22" s="30"/>
      <c r="D22" s="105">
        <f>SUMIF('Draw Request'!$C$17:$C$61,'Final Budget'!A22,'Draw Request'!$I$17:$I$61)</f>
        <v>0</v>
      </c>
      <c r="E22" s="30">
        <v>0</v>
      </c>
      <c r="F22" s="31"/>
      <c r="G22" s="32"/>
      <c r="H22" s="105">
        <f ca="1">SUMIF('Draw Request'!$C$4:$I$11,'Final Budget'!A22,'Draw Request'!$I$4:$I$11)</f>
        <v>0</v>
      </c>
      <c r="I22" s="323">
        <f ca="1">B22-D22-H22</f>
        <v>0</v>
      </c>
      <c r="J22" s="173" t="s">
        <v>147</v>
      </c>
      <c r="K22" s="276" t="s">
        <v>387</v>
      </c>
      <c r="L22" s="331"/>
      <c r="M22" s="276"/>
      <c r="R22" s="334" t="s">
        <v>398</v>
      </c>
    </row>
    <row r="23" spans="1:256" s="334" customFormat="1" ht="14.5" customHeight="1" x14ac:dyDescent="0.3">
      <c r="A23" s="335" t="s">
        <v>450</v>
      </c>
      <c r="B23" s="30"/>
      <c r="C23" s="30"/>
      <c r="D23" s="105">
        <f>SUMIF('Draw Request'!$C$17:$C$61,'Final Budget'!A23,'Draw Request'!$I$17:$I$61)</f>
        <v>0</v>
      </c>
      <c r="E23" s="30">
        <v>0</v>
      </c>
      <c r="F23" s="31"/>
      <c r="G23" s="32"/>
      <c r="H23" s="105">
        <f ca="1">SUMIF('Draw Request'!$C$4:$I$11,'Final Budget'!A23,'Draw Request'!$I$4:$I$11)</f>
        <v>0</v>
      </c>
      <c r="I23" s="323">
        <f ca="1">B23-D23-H23</f>
        <v>0</v>
      </c>
      <c r="J23" s="173"/>
      <c r="K23" s="276"/>
      <c r="L23" s="331"/>
      <c r="M23" s="276"/>
    </row>
    <row r="24" spans="1:256" s="334" customFormat="1" ht="14.5" customHeight="1" x14ac:dyDescent="0.3">
      <c r="A24" s="335" t="s">
        <v>449</v>
      </c>
      <c r="B24" s="30"/>
      <c r="C24" s="30"/>
      <c r="D24" s="105">
        <f>SUMIF('Draw Request'!$C$17:$C$61,'Final Budget'!A24,'Draw Request'!$I$17:$I$61)</f>
        <v>0</v>
      </c>
      <c r="E24" s="30">
        <v>0</v>
      </c>
      <c r="F24" s="31"/>
      <c r="G24" s="32"/>
      <c r="H24" s="105">
        <f ca="1">SUMIF('Draw Request'!$C$4:$I$11,'Final Budget'!A24,'Draw Request'!$I$4:$I$11)</f>
        <v>0</v>
      </c>
      <c r="I24" s="323">
        <f ca="1">B24-D24-H24</f>
        <v>0</v>
      </c>
      <c r="J24" s="173"/>
      <c r="K24" s="276"/>
      <c r="L24" s="331"/>
      <c r="M24" s="276"/>
    </row>
    <row r="25" spans="1:256" s="334" customFormat="1" ht="14.5" customHeight="1" x14ac:dyDescent="0.3">
      <c r="A25" s="335" t="s">
        <v>417</v>
      </c>
      <c r="B25" s="105">
        <f>SUM(B22:B24)</f>
        <v>0</v>
      </c>
      <c r="C25" s="397">
        <f>SUM(C22:C24)</f>
        <v>0</v>
      </c>
      <c r="D25" s="461">
        <f>SUM(D22:D24)</f>
        <v>0</v>
      </c>
      <c r="E25" s="393">
        <f>SUM(E22:E24)</f>
        <v>0</v>
      </c>
      <c r="F25" s="395"/>
      <c r="G25" s="396"/>
      <c r="H25" s="343"/>
      <c r="I25" s="399"/>
      <c r="J25" s="398"/>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3"/>
      <c r="AO25" s="343"/>
      <c r="AP25" s="343"/>
      <c r="AQ25" s="343"/>
      <c r="AR25" s="343"/>
      <c r="AS25" s="343"/>
      <c r="AT25" s="343"/>
      <c r="AU25" s="343"/>
      <c r="AV25" s="343"/>
      <c r="AW25" s="343"/>
      <c r="AX25" s="343"/>
      <c r="AY25" s="343"/>
      <c r="AZ25" s="343"/>
      <c r="BA25" s="343"/>
      <c r="BB25" s="343"/>
      <c r="BC25" s="343"/>
      <c r="BD25" s="343"/>
      <c r="BE25" s="343"/>
      <c r="BF25" s="343"/>
      <c r="BG25" s="343"/>
      <c r="BH25" s="343"/>
      <c r="BI25" s="343"/>
      <c r="BJ25" s="343"/>
      <c r="BK25" s="343"/>
      <c r="BL25" s="343"/>
      <c r="BM25" s="343"/>
      <c r="BN25" s="343"/>
      <c r="BO25" s="343"/>
      <c r="BP25" s="343"/>
      <c r="BQ25" s="343"/>
      <c r="BR25" s="343"/>
      <c r="BS25" s="343"/>
      <c r="BT25" s="343"/>
      <c r="BU25" s="343"/>
      <c r="BV25" s="343"/>
      <c r="BW25" s="343"/>
      <c r="BX25" s="343"/>
      <c r="BY25" s="343"/>
      <c r="BZ25" s="343"/>
      <c r="CA25" s="343"/>
      <c r="CB25" s="343"/>
      <c r="CC25" s="343"/>
      <c r="CD25" s="343"/>
      <c r="CE25" s="343"/>
      <c r="CF25" s="343"/>
      <c r="CG25" s="343"/>
      <c r="CH25" s="343"/>
      <c r="CI25" s="343"/>
      <c r="CJ25" s="343"/>
      <c r="CK25" s="343"/>
      <c r="CL25" s="343"/>
      <c r="CM25" s="343"/>
      <c r="CN25" s="343"/>
      <c r="CO25" s="343"/>
      <c r="CP25" s="343"/>
      <c r="CQ25" s="343"/>
      <c r="CR25" s="343"/>
      <c r="CS25" s="343"/>
      <c r="CT25" s="343"/>
      <c r="CU25" s="343"/>
      <c r="CV25" s="343"/>
      <c r="CW25" s="343"/>
      <c r="CX25" s="343"/>
      <c r="CY25" s="343"/>
      <c r="CZ25" s="343"/>
      <c r="DA25" s="343"/>
      <c r="DB25" s="343"/>
      <c r="DC25" s="343"/>
      <c r="DD25" s="343"/>
      <c r="DE25" s="343"/>
      <c r="DF25" s="343"/>
      <c r="DG25" s="343"/>
      <c r="DH25" s="343"/>
      <c r="DI25" s="343"/>
      <c r="DJ25" s="343"/>
      <c r="DK25" s="343"/>
      <c r="DL25" s="343"/>
      <c r="DM25" s="343"/>
      <c r="DN25" s="343"/>
      <c r="DO25" s="343"/>
      <c r="DP25" s="343"/>
      <c r="DQ25" s="343"/>
      <c r="DR25" s="343"/>
      <c r="DS25" s="343"/>
      <c r="DT25" s="343"/>
      <c r="DU25" s="343"/>
      <c r="DV25" s="343"/>
      <c r="DW25" s="343"/>
      <c r="DX25" s="343"/>
      <c r="DY25" s="343"/>
      <c r="DZ25" s="343"/>
      <c r="EA25" s="343"/>
      <c r="EB25" s="343"/>
      <c r="EC25" s="343"/>
      <c r="ED25" s="343"/>
      <c r="EE25" s="343"/>
      <c r="EF25" s="343"/>
      <c r="EG25" s="343"/>
      <c r="EH25" s="343"/>
      <c r="EI25" s="343"/>
      <c r="EJ25" s="343"/>
      <c r="EK25" s="343"/>
      <c r="EL25" s="343"/>
      <c r="EM25" s="343"/>
      <c r="EN25" s="343"/>
      <c r="EO25" s="343"/>
      <c r="EP25" s="343"/>
      <c r="EQ25" s="343"/>
      <c r="ER25" s="343"/>
      <c r="ES25" s="343"/>
      <c r="ET25" s="343"/>
      <c r="EU25" s="343"/>
      <c r="EV25" s="343"/>
      <c r="EW25" s="343"/>
      <c r="EX25" s="343"/>
      <c r="EY25" s="343"/>
      <c r="EZ25" s="343"/>
      <c r="FA25" s="343"/>
      <c r="FB25" s="343"/>
      <c r="FC25" s="343"/>
      <c r="FD25" s="343"/>
      <c r="FE25" s="343"/>
      <c r="FF25" s="343"/>
      <c r="FG25" s="343"/>
      <c r="FH25" s="343"/>
      <c r="FI25" s="343"/>
      <c r="FJ25" s="343"/>
      <c r="FK25" s="343"/>
      <c r="FL25" s="343"/>
      <c r="FM25" s="343"/>
      <c r="FN25" s="343"/>
      <c r="FO25" s="343"/>
      <c r="FP25" s="343"/>
      <c r="FQ25" s="343"/>
      <c r="FR25" s="343"/>
      <c r="FS25" s="343"/>
      <c r="FT25" s="343"/>
      <c r="FU25" s="343"/>
      <c r="FV25" s="343"/>
      <c r="FW25" s="343"/>
      <c r="FX25" s="343"/>
      <c r="FY25" s="343"/>
      <c r="FZ25" s="343"/>
      <c r="GA25" s="343"/>
      <c r="GB25" s="343"/>
      <c r="GC25" s="343"/>
      <c r="GD25" s="343"/>
      <c r="GE25" s="343"/>
      <c r="GF25" s="343"/>
      <c r="GG25" s="343"/>
      <c r="GH25" s="343"/>
      <c r="GI25" s="343"/>
      <c r="GJ25" s="343"/>
      <c r="GK25" s="343"/>
      <c r="GL25" s="343"/>
      <c r="GM25" s="343"/>
      <c r="GN25" s="343"/>
      <c r="GO25" s="343"/>
      <c r="GP25" s="343"/>
      <c r="GQ25" s="343"/>
      <c r="GR25" s="343"/>
      <c r="GS25" s="343"/>
      <c r="GT25" s="343"/>
      <c r="GU25" s="343"/>
      <c r="GV25" s="343"/>
      <c r="GW25" s="343"/>
      <c r="GX25" s="343"/>
      <c r="GY25" s="343"/>
      <c r="GZ25" s="343"/>
      <c r="HA25" s="343"/>
      <c r="HB25" s="343"/>
      <c r="HC25" s="343"/>
      <c r="HD25" s="343"/>
      <c r="HE25" s="343"/>
      <c r="HF25" s="343"/>
      <c r="HG25" s="343"/>
      <c r="HH25" s="343"/>
      <c r="HI25" s="343"/>
      <c r="HJ25" s="343"/>
      <c r="HK25" s="343"/>
      <c r="HL25" s="343"/>
      <c r="HM25" s="343"/>
      <c r="HN25" s="343"/>
      <c r="HO25" s="343"/>
      <c r="HP25" s="343"/>
      <c r="HQ25" s="343"/>
      <c r="HR25" s="343"/>
      <c r="HS25" s="343"/>
      <c r="HT25" s="343"/>
      <c r="HU25" s="343"/>
      <c r="HV25" s="343"/>
      <c r="HW25" s="343"/>
      <c r="HX25" s="343"/>
      <c r="HY25" s="343"/>
      <c r="HZ25" s="343"/>
      <c r="IA25" s="343"/>
      <c r="IB25" s="343"/>
      <c r="IC25" s="343"/>
      <c r="ID25" s="343"/>
      <c r="IE25" s="343"/>
      <c r="IF25" s="343"/>
      <c r="IG25" s="343"/>
      <c r="IH25" s="343"/>
      <c r="II25" s="343"/>
      <c r="IJ25" s="343"/>
      <c r="IK25" s="343"/>
      <c r="IL25" s="343"/>
      <c r="IM25" s="343"/>
      <c r="IN25" s="343"/>
      <c r="IO25" s="343"/>
      <c r="IP25" s="343"/>
      <c r="IQ25" s="343"/>
      <c r="IR25" s="343"/>
      <c r="IS25" s="343"/>
      <c r="IT25" s="343"/>
      <c r="IU25" s="343"/>
      <c r="IV25" s="343"/>
    </row>
    <row r="26" spans="1:256" ht="14.5" customHeight="1" x14ac:dyDescent="0.3">
      <c r="A26" s="335" t="s">
        <v>376</v>
      </c>
      <c r="B26" s="105" t="str">
        <f>IF(OR($E$4="",SUM(B14:B20)=0),"",SUM(B21/$E$4))</f>
        <v/>
      </c>
      <c r="C26" s="342" t="str">
        <f>IF(OR($E$4="",SUM(C14:C20)=0),"",SUM(C21/$E$4))</f>
        <v/>
      </c>
      <c r="D26" s="343"/>
      <c r="E26" s="343"/>
      <c r="F26" s="344"/>
      <c r="G26" s="343"/>
      <c r="H26" s="343"/>
      <c r="I26" s="400"/>
      <c r="J26" s="173" t="s">
        <v>228</v>
      </c>
      <c r="R26" s="276" t="s">
        <v>393</v>
      </c>
      <c r="S26" s="276">
        <f>SUMIF($F$9:$F$10,"Leverage",$H$9:$H$10)</f>
        <v>0</v>
      </c>
    </row>
    <row r="27" spans="1:256" ht="14.5" customHeight="1" x14ac:dyDescent="0.3">
      <c r="A27" s="345" t="s">
        <v>164</v>
      </c>
      <c r="B27" s="33">
        <f>SUM(B21+B25)</f>
        <v>0</v>
      </c>
      <c r="C27" s="358">
        <f>SUM(C21+C25)</f>
        <v>0</v>
      </c>
      <c r="D27" s="38">
        <f>SUM(D14:D20,D25)</f>
        <v>0</v>
      </c>
      <c r="E27" s="38">
        <f>SUM(E14:E24)</f>
        <v>0</v>
      </c>
      <c r="F27" s="169"/>
      <c r="G27" s="170"/>
      <c r="H27" s="34">
        <f ca="1">SUM(H14:H24)</f>
        <v>0</v>
      </c>
      <c r="I27" s="190">
        <f ca="1">SUM(I14:I24)</f>
        <v>0</v>
      </c>
      <c r="R27" s="276" t="s">
        <v>394</v>
      </c>
      <c r="S27" s="276">
        <f>SUMIF($F$14:$F$20,"Leverage",$H$14:$H$20)</f>
        <v>0</v>
      </c>
    </row>
    <row r="28" spans="1:256" ht="15" customHeight="1" thickBot="1" x14ac:dyDescent="0.35">
      <c r="A28" s="347"/>
      <c r="B28" s="326"/>
      <c r="C28" s="326"/>
      <c r="D28" s="326"/>
      <c r="E28" s="326"/>
      <c r="F28" s="327"/>
      <c r="G28" s="326"/>
      <c r="H28" s="326"/>
      <c r="I28" s="328"/>
      <c r="R28" s="276" t="s">
        <v>395</v>
      </c>
      <c r="S28" s="276">
        <f>SUMIF($F$35:$F$41,"Leverage",$H$35:$H$41)</f>
        <v>0</v>
      </c>
    </row>
    <row r="29" spans="1:256" ht="15" customHeight="1" thickTop="1" x14ac:dyDescent="0.3">
      <c r="A29" s="443" t="s">
        <v>384</v>
      </c>
      <c r="B29" s="430"/>
      <c r="C29" s="430"/>
      <c r="D29" s="430"/>
      <c r="E29" s="430"/>
      <c r="F29" s="430"/>
      <c r="G29" s="430"/>
      <c r="H29" s="430"/>
      <c r="I29" s="431"/>
      <c r="R29" s="276" t="s">
        <v>396</v>
      </c>
      <c r="S29" s="276">
        <f>SUMIF($F$45:$F$46,"Leverage",$H$45:$H$46)</f>
        <v>0</v>
      </c>
    </row>
    <row r="30" spans="1:256" ht="15" customHeight="1" x14ac:dyDescent="0.3">
      <c r="A30" s="348" t="str">
        <f>IF(B4="SFD","Developer Fee","SFD Only - Leave Row Blank")</f>
        <v>SFD Only - Leave Row Blank</v>
      </c>
      <c r="B30" s="30">
        <v>0</v>
      </c>
      <c r="C30" s="30">
        <v>0</v>
      </c>
      <c r="D30" s="105">
        <f>SUMIF('Draw Request'!$C$17:$C$61,'Final Budget'!A30,'Draw Request'!$I$17:$I$61)</f>
        <v>0</v>
      </c>
      <c r="E30" s="258"/>
      <c r="F30" s="259"/>
      <c r="G30" s="260"/>
      <c r="H30" s="349"/>
      <c r="I30" s="323">
        <f>B30-D30-H30</f>
        <v>0</v>
      </c>
      <c r="R30" s="276" t="s">
        <v>397</v>
      </c>
      <c r="S30" s="276">
        <f>SUM(S26:S29)</f>
        <v>0</v>
      </c>
    </row>
    <row r="31" spans="1:256" ht="15" customHeight="1" x14ac:dyDescent="0.3">
      <c r="A31" s="348" t="str">
        <f>IF(B4="SFD","Developer Closing Cost- Homebuyer Loan","SFD Only - Leave Row Blank")</f>
        <v>SFD Only - Leave Row Blank</v>
      </c>
      <c r="B31" s="30">
        <v>0</v>
      </c>
      <c r="C31" s="30">
        <v>0</v>
      </c>
      <c r="D31" s="105">
        <f>SUMIF('Draw Request'!$C$17:$C$61,'Final Budget'!A31,'Draw Request'!$I$17:$I$61)</f>
        <v>0</v>
      </c>
      <c r="E31" s="261"/>
      <c r="F31" s="169"/>
      <c r="G31" s="170"/>
      <c r="H31" s="350"/>
      <c r="I31" s="323">
        <f>B31-D31-H31</f>
        <v>0</v>
      </c>
    </row>
    <row r="32" spans="1:256" ht="15" customHeight="1" thickBot="1" x14ac:dyDescent="0.35">
      <c r="A32" s="351" t="str">
        <f>IF(B4="SFD","Homebuyer Closing Cost - Homebuyer Loan","SFD Only - Leave Row Blank")</f>
        <v>SFD Only - Leave Row Blank</v>
      </c>
      <c r="B32" s="30">
        <v>0</v>
      </c>
      <c r="C32" s="30">
        <v>0</v>
      </c>
      <c r="D32" s="105">
        <f>SUMIF('Draw Request'!$C$17:$C$61,'Final Budget'!A32,'Draw Request'!$I$17:$I$61)</f>
        <v>0</v>
      </c>
      <c r="E32" s="261"/>
      <c r="F32" s="169"/>
      <c r="G32" s="170"/>
      <c r="H32" s="350"/>
      <c r="I32" s="323">
        <f>B32-D32-H32</f>
        <v>0</v>
      </c>
    </row>
    <row r="33" spans="1:13" ht="15" customHeight="1" thickTop="1" thickBot="1" x14ac:dyDescent="0.35">
      <c r="A33" s="352" t="s">
        <v>383</v>
      </c>
      <c r="B33" s="257">
        <f>SUM(B30:B32)</f>
        <v>0</v>
      </c>
      <c r="C33" s="257">
        <f>SUM(C30:C32)</f>
        <v>0</v>
      </c>
      <c r="D33" s="257">
        <f>SUM(D30:D32)</f>
        <v>0</v>
      </c>
      <c r="E33" s="264"/>
      <c r="F33" s="262"/>
      <c r="G33" s="263"/>
      <c r="H33" s="264"/>
      <c r="I33" s="353">
        <f>SUM(I30:I32)</f>
        <v>0</v>
      </c>
    </row>
    <row r="34" spans="1:13" ht="15" customHeight="1" thickTop="1" x14ac:dyDescent="0.35">
      <c r="A34" s="475" t="s">
        <v>472</v>
      </c>
      <c r="B34" s="438"/>
      <c r="C34" s="438"/>
      <c r="D34" s="438"/>
      <c r="E34" s="438"/>
      <c r="F34" s="438"/>
      <c r="G34" s="438"/>
      <c r="H34" s="438"/>
      <c r="I34" s="439"/>
      <c r="K34" s="354" t="s">
        <v>16</v>
      </c>
    </row>
    <row r="35" spans="1:13" ht="14.5" customHeight="1" x14ac:dyDescent="0.3">
      <c r="A35" s="282" t="s">
        <v>4</v>
      </c>
      <c r="B35" s="30">
        <v>0</v>
      </c>
      <c r="C35" s="30">
        <v>0</v>
      </c>
      <c r="D35" s="105">
        <f>SUMIF('Draw Request'!$C$17:$C$61,'Final Budget'!A35,'Draw Request'!$I$17:$I$61)</f>
        <v>0</v>
      </c>
      <c r="E35" s="30">
        <v>0</v>
      </c>
      <c r="F35" s="31"/>
      <c r="G35" s="32"/>
      <c r="H35" s="105">
        <f ca="1">SUMIF('Draw Request'!$C$4:$I$11,'Final Budget'!A35,'Draw Request'!$I$4:$I$11)</f>
        <v>0</v>
      </c>
      <c r="I35" s="323">
        <f t="shared" ref="I35:I41" ca="1" si="1">B35-D35-H35</f>
        <v>0</v>
      </c>
      <c r="K35" s="355"/>
    </row>
    <row r="36" spans="1:13" s="334" customFormat="1" ht="14.5" customHeight="1" x14ac:dyDescent="0.3">
      <c r="A36" s="357" t="s">
        <v>455</v>
      </c>
      <c r="B36" s="30">
        <v>0</v>
      </c>
      <c r="C36" s="30">
        <v>0</v>
      </c>
      <c r="D36" s="105">
        <f>SUMIF('Draw Request'!$C$17:$C$61,'Final Budget'!A36,'Draw Request'!$I$17:$I$61)</f>
        <v>0</v>
      </c>
      <c r="E36" s="30">
        <v>0</v>
      </c>
      <c r="F36" s="31"/>
      <c r="G36" s="31"/>
      <c r="H36" s="105">
        <f ca="1">SUMIF('Draw Request'!$C$4:$I$11,'Final Budget'!A36,'Draw Request'!$I$4:$I$11)</f>
        <v>0</v>
      </c>
      <c r="I36" s="323">
        <f t="shared" ca="1" si="1"/>
        <v>0</v>
      </c>
      <c r="J36" s="362"/>
      <c r="K36" s="445"/>
      <c r="L36" s="356"/>
    </row>
    <row r="37" spans="1:13" ht="14.5" customHeight="1" x14ac:dyDescent="0.3">
      <c r="A37" s="282" t="s">
        <v>5</v>
      </c>
      <c r="B37" s="30">
        <v>0</v>
      </c>
      <c r="C37" s="30">
        <v>0</v>
      </c>
      <c r="D37" s="105">
        <f>SUMIF('Draw Request'!$C$17:$C$61,'Final Budget'!A37,'Draw Request'!$I$17:$I$61)</f>
        <v>0</v>
      </c>
      <c r="E37" s="30">
        <v>0</v>
      </c>
      <c r="F37" s="31"/>
      <c r="G37" s="32"/>
      <c r="H37" s="105">
        <f ca="1">SUMIF('Draw Request'!$C$4:$I$11,'Final Budget'!A37,'Draw Request'!$I$4:$I$11)</f>
        <v>0</v>
      </c>
      <c r="I37" s="323">
        <f t="shared" ca="1" si="1"/>
        <v>0</v>
      </c>
      <c r="K37" s="355" t="s">
        <v>236</v>
      </c>
      <c r="L37" s="356"/>
    </row>
    <row r="38" spans="1:13" ht="14.5" customHeight="1" x14ac:dyDescent="0.3">
      <c r="A38" s="282" t="s">
        <v>162</v>
      </c>
      <c r="B38" s="30">
        <v>0</v>
      </c>
      <c r="C38" s="30">
        <v>0</v>
      </c>
      <c r="D38" s="105">
        <f>SUMIF('Draw Request'!$C$17:$C$61,'Final Budget'!A38,'Draw Request'!$I$17:$I$61)</f>
        <v>0</v>
      </c>
      <c r="E38" s="30">
        <v>0</v>
      </c>
      <c r="F38" s="31"/>
      <c r="G38" s="32"/>
      <c r="H38" s="105">
        <f ca="1">SUMIF('Draw Request'!$C$4:$I$11,'Final Budget'!A38,'Draw Request'!$I$4:$I$11)</f>
        <v>0</v>
      </c>
      <c r="I38" s="323">
        <f t="shared" ca="1" si="1"/>
        <v>0</v>
      </c>
      <c r="K38" s="355" t="s">
        <v>237</v>
      </c>
      <c r="M38" s="334"/>
    </row>
    <row r="39" spans="1:13" ht="14.5" customHeight="1" x14ac:dyDescent="0.3">
      <c r="A39" s="282" t="s">
        <v>6</v>
      </c>
      <c r="B39" s="30">
        <v>0</v>
      </c>
      <c r="C39" s="30">
        <v>0</v>
      </c>
      <c r="D39" s="105">
        <f>SUMIF('Draw Request'!$C$17:$C$61,'Final Budget'!A39,'Draw Request'!$I$17:$I$61)</f>
        <v>0</v>
      </c>
      <c r="E39" s="30">
        <v>0</v>
      </c>
      <c r="F39" s="31"/>
      <c r="G39" s="32"/>
      <c r="H39" s="105">
        <f ca="1">SUMIF('Draw Request'!$C$4:$I$11,'Final Budget'!A39,'Draw Request'!$I$4:$I$11)</f>
        <v>0</v>
      </c>
      <c r="I39" s="323">
        <f t="shared" ca="1" si="1"/>
        <v>0</v>
      </c>
      <c r="K39" s="355" t="s">
        <v>136</v>
      </c>
    </row>
    <row r="40" spans="1:13" ht="14.5" customHeight="1" x14ac:dyDescent="0.3">
      <c r="A40" s="282" t="s">
        <v>7</v>
      </c>
      <c r="B40" s="30">
        <v>0</v>
      </c>
      <c r="C40" s="30">
        <v>0</v>
      </c>
      <c r="D40" s="105">
        <f>SUMIF('Draw Request'!$C$17:$C$61,'Final Budget'!A40,'Draw Request'!$I$17:$I$61)</f>
        <v>0</v>
      </c>
      <c r="E40" s="30">
        <v>0</v>
      </c>
      <c r="F40" s="31"/>
      <c r="G40" s="32"/>
      <c r="H40" s="105">
        <f ca="1">SUMIF('Draw Request'!$C$4:$I$11,'Final Budget'!A40,'Draw Request'!$I$4:$I$11)</f>
        <v>0</v>
      </c>
      <c r="I40" s="323">
        <f t="shared" ca="1" si="1"/>
        <v>0</v>
      </c>
    </row>
    <row r="41" spans="1:13" s="334" customFormat="1" ht="14.5" customHeight="1" x14ac:dyDescent="0.3">
      <c r="A41" s="357" t="s">
        <v>429</v>
      </c>
      <c r="B41" s="30">
        <v>0</v>
      </c>
      <c r="C41" s="30">
        <v>0</v>
      </c>
      <c r="D41" s="105">
        <f>SUMIF('Draw Request'!$C$17:$C$61,'Final Budget'!A41,'Draw Request'!$I$17:$I$61)</f>
        <v>0</v>
      </c>
      <c r="E41" s="30">
        <v>0</v>
      </c>
      <c r="F41" s="31"/>
      <c r="G41" s="32"/>
      <c r="H41" s="105">
        <f ca="1">SUMIF('Draw Request'!$C$4:$I$11,'Final Budget'!A41,'Draw Request'!$I$4:$I$11)</f>
        <v>0</v>
      </c>
      <c r="I41" s="323">
        <f t="shared" ca="1" si="1"/>
        <v>0</v>
      </c>
      <c r="J41" s="346"/>
      <c r="K41" s="276"/>
      <c r="L41" s="331"/>
      <c r="M41" s="276"/>
    </row>
    <row r="42" spans="1:13" ht="14.5" customHeight="1" x14ac:dyDescent="0.3">
      <c r="A42" s="474" t="s">
        <v>473</v>
      </c>
      <c r="B42" s="33">
        <f>SUM(B35:B41)</f>
        <v>0</v>
      </c>
      <c r="C42" s="33">
        <f>SUM(C35:C41)</f>
        <v>0</v>
      </c>
      <c r="D42" s="33">
        <f>SUM(D35:D41)</f>
        <v>0</v>
      </c>
      <c r="E42" s="358">
        <f>SUM(E35:E41)</f>
        <v>0</v>
      </c>
      <c r="F42" s="359"/>
      <c r="G42" s="360"/>
      <c r="H42" s="361">
        <f ca="1">SUM(H35:H41)</f>
        <v>0</v>
      </c>
      <c r="I42" s="35">
        <f ca="1">SUM(I35:I41)</f>
        <v>0</v>
      </c>
      <c r="J42" s="362"/>
    </row>
    <row r="43" spans="1:13" ht="14.5" customHeight="1" thickBot="1" x14ac:dyDescent="0.35">
      <c r="A43" s="347"/>
      <c r="B43" s="326"/>
      <c r="C43" s="326"/>
      <c r="D43" s="326"/>
      <c r="E43" s="326"/>
      <c r="F43" s="327"/>
      <c r="G43" s="326"/>
      <c r="H43" s="326"/>
      <c r="I43" s="328"/>
    </row>
    <row r="44" spans="1:13" ht="15" customHeight="1" thickTop="1" x14ac:dyDescent="0.3">
      <c r="A44" s="429" t="s">
        <v>165</v>
      </c>
      <c r="B44" s="430"/>
      <c r="C44" s="430"/>
      <c r="D44" s="430"/>
      <c r="E44" s="430"/>
      <c r="F44" s="430"/>
      <c r="G44" s="430"/>
      <c r="H44" s="430"/>
      <c r="I44" s="431"/>
    </row>
    <row r="45" spans="1:13" ht="14.5" customHeight="1" x14ac:dyDescent="0.3">
      <c r="A45" s="363" t="s">
        <v>163</v>
      </c>
      <c r="B45" s="30"/>
      <c r="C45" s="30"/>
      <c r="D45" s="105">
        <f>SUMIF('Draw Request'!$C$17:$C$61,'Final Budget'!A45,'Draw Request'!$I$17:$I$61)</f>
        <v>0</v>
      </c>
      <c r="E45" s="30">
        <v>0</v>
      </c>
      <c r="F45" s="31"/>
      <c r="G45" s="32"/>
      <c r="H45" s="105">
        <f ca="1">SUMIF('Draw Request'!$C$4:$I$11,'Final Budget'!A45,'Draw Request'!$I$4:$I$11)</f>
        <v>0</v>
      </c>
      <c r="I45" s="323">
        <f ca="1">B45-D45-H45</f>
        <v>0</v>
      </c>
    </row>
    <row r="46" spans="1:13" ht="14.5" customHeight="1" x14ac:dyDescent="0.3">
      <c r="A46" s="364" t="s">
        <v>71</v>
      </c>
      <c r="B46" s="30">
        <v>0</v>
      </c>
      <c r="C46" s="30">
        <v>0</v>
      </c>
      <c r="D46" s="105">
        <f>SUMIF('Draw Request'!$C$17:$C$61,'Final Budget'!A46,'Draw Request'!$I$17:$I$61)</f>
        <v>0</v>
      </c>
      <c r="E46" s="30">
        <v>0</v>
      </c>
      <c r="F46" s="31"/>
      <c r="G46" s="32"/>
      <c r="H46" s="105">
        <f ca="1">SUMIF('Draw Request'!$C$4:$I$11,'Final Budget'!A46,'Draw Request'!$I$4:$I$11)</f>
        <v>0</v>
      </c>
      <c r="I46" s="323">
        <f ca="1">B46-D46-H46</f>
        <v>0</v>
      </c>
    </row>
    <row r="47" spans="1:13" ht="14.5" customHeight="1" thickBot="1" x14ac:dyDescent="0.35">
      <c r="A47" s="365" t="s">
        <v>166</v>
      </c>
      <c r="B47" s="366">
        <f>SUM(B45:B46)</f>
        <v>0</v>
      </c>
      <c r="C47" s="366">
        <f>SUM(C45:C46)</f>
        <v>0</v>
      </c>
      <c r="D47" s="366">
        <f>SUM(D45:D46)</f>
        <v>0</v>
      </c>
      <c r="E47" s="367">
        <f>SUM(E45:E46)</f>
        <v>0</v>
      </c>
      <c r="F47" s="368"/>
      <c r="G47" s="369"/>
      <c r="H47" s="370">
        <f ca="1">SUM(H45:H46)</f>
        <v>0</v>
      </c>
      <c r="I47" s="371">
        <f ca="1">B47-D47-H47</f>
        <v>0</v>
      </c>
    </row>
    <row r="48" spans="1:13" ht="15" customHeight="1" thickTop="1" x14ac:dyDescent="0.3">
      <c r="A48" s="372"/>
      <c r="B48" s="373"/>
      <c r="C48" s="373"/>
      <c r="D48" s="373"/>
      <c r="E48" s="373"/>
      <c r="F48" s="374"/>
      <c r="G48" s="373"/>
      <c r="H48" s="373"/>
      <c r="I48" s="375"/>
    </row>
    <row r="49" spans="1:9" ht="15" customHeight="1" x14ac:dyDescent="0.3">
      <c r="A49" s="265" t="s">
        <v>227</v>
      </c>
      <c r="B49" s="266">
        <f>SUM(B47+B42+B33+B27+B11)</f>
        <v>0</v>
      </c>
      <c r="C49" s="266">
        <f>SUM(C47+C42+C33+C27+C11)</f>
        <v>0</v>
      </c>
      <c r="D49" s="170"/>
      <c r="E49" s="170"/>
      <c r="F49" s="169"/>
      <c r="G49" s="170"/>
      <c r="H49" s="170"/>
      <c r="I49" s="267">
        <f ca="1">SUM(I47+I42+I33+I27+I11)</f>
        <v>0</v>
      </c>
    </row>
    <row r="50" spans="1:9" ht="15" customHeight="1" x14ac:dyDescent="0.3">
      <c r="A50" s="268" t="s">
        <v>10</v>
      </c>
      <c r="B50" s="170"/>
      <c r="C50" s="170"/>
      <c r="D50" s="269">
        <f>SUM(D47+D42+D33+D27+D11)</f>
        <v>0</v>
      </c>
      <c r="E50" s="170"/>
      <c r="F50" s="169"/>
      <c r="G50" s="170"/>
      <c r="H50" s="170"/>
      <c r="I50" s="270"/>
    </row>
    <row r="51" spans="1:9" ht="15" customHeight="1" x14ac:dyDescent="0.3">
      <c r="A51" s="268" t="s">
        <v>11</v>
      </c>
      <c r="B51" s="170"/>
      <c r="C51" s="170"/>
      <c r="D51" s="170"/>
      <c r="E51" s="269">
        <f>S6</f>
        <v>0</v>
      </c>
      <c r="F51" s="169"/>
      <c r="G51" s="170"/>
      <c r="H51" s="170"/>
      <c r="I51" s="270"/>
    </row>
    <row r="52" spans="1:9" ht="15" customHeight="1" thickBot="1" x14ac:dyDescent="0.35">
      <c r="A52" s="271" t="s">
        <v>12</v>
      </c>
      <c r="B52" s="170"/>
      <c r="C52" s="170"/>
      <c r="D52" s="170"/>
      <c r="E52" s="170"/>
      <c r="F52" s="169"/>
      <c r="G52" s="170"/>
      <c r="H52" s="272">
        <f>S20</f>
        <v>0</v>
      </c>
      <c r="I52" s="273"/>
    </row>
    <row r="53" spans="1:9" ht="15" customHeight="1" thickTop="1" x14ac:dyDescent="0.3">
      <c r="A53" s="274" t="s">
        <v>390</v>
      </c>
      <c r="B53" s="170"/>
      <c r="C53" s="170"/>
      <c r="D53" s="170"/>
      <c r="E53" s="269">
        <f>S12</f>
        <v>0</v>
      </c>
      <c r="F53" s="169"/>
      <c r="G53" s="170"/>
      <c r="H53" s="275"/>
      <c r="I53" s="270"/>
    </row>
    <row r="54" spans="1:9" ht="15" customHeight="1" thickBot="1" x14ac:dyDescent="0.35">
      <c r="A54" s="276" t="s">
        <v>391</v>
      </c>
      <c r="B54" s="263"/>
      <c r="C54" s="263"/>
      <c r="D54" s="263"/>
      <c r="E54" s="263"/>
      <c r="F54" s="263"/>
      <c r="G54" s="277"/>
      <c r="H54" s="278">
        <f>S30</f>
        <v>0</v>
      </c>
      <c r="I54" s="279"/>
    </row>
    <row r="55" spans="1:9" ht="14.5" customHeight="1" thickTop="1" x14ac:dyDescent="0.3">
      <c r="A55" s="429" t="s">
        <v>72</v>
      </c>
      <c r="B55" s="427"/>
      <c r="C55" s="427"/>
      <c r="D55" s="427"/>
      <c r="E55" s="427"/>
      <c r="F55" s="427"/>
      <c r="G55" s="427"/>
      <c r="H55" s="427"/>
      <c r="I55" s="428"/>
    </row>
    <row r="56" spans="1:9" ht="15" customHeight="1" x14ac:dyDescent="0.3">
      <c r="A56" s="280" t="s">
        <v>149</v>
      </c>
      <c r="B56" s="281" t="s">
        <v>150</v>
      </c>
      <c r="C56" s="435" t="s">
        <v>151</v>
      </c>
      <c r="D56" s="436"/>
      <c r="E56" s="436"/>
      <c r="F56" s="436"/>
      <c r="G56" s="436"/>
      <c r="H56" s="436"/>
      <c r="I56" s="437"/>
    </row>
    <row r="57" spans="1:9" ht="14.5" x14ac:dyDescent="0.35">
      <c r="A57" s="282" t="s">
        <v>448</v>
      </c>
      <c r="B57" s="281" t="str">
        <f>IF(AND(B4="Yes",B11&lt;=35000),"PASS",IF(AND(B4="Yes",B11&gt;35000),"FAIL","NOT APPLICABLE"))</f>
        <v>NOT APPLICABLE</v>
      </c>
      <c r="C57" s="493" t="str">
        <f>IF(B57="FAIL","Acquisition Costs exceed limitations.   Reduce Acquisition Costs line-item amount.","")</f>
        <v/>
      </c>
      <c r="D57" s="494"/>
      <c r="E57" s="494"/>
      <c r="F57" s="494"/>
      <c r="G57" s="494"/>
      <c r="H57" s="494"/>
      <c r="I57" s="495"/>
    </row>
    <row r="58" spans="1:9" ht="14.5" x14ac:dyDescent="0.35">
      <c r="A58" s="282" t="s">
        <v>447</v>
      </c>
      <c r="B58" s="281" t="e">
        <f>IF(OR(B4="HANC",P20="N/A"),"NOT APPLICABLE",IF(C26=0,"Enter HOME Budget",IF(P20&gt;=C26,"PASS","FAIL")))</f>
        <v>#N/A</v>
      </c>
      <c r="C58" s="493" t="e">
        <f>IF(B58="FAIL","Construction costs exceed allowable amount per square foot.  Revise construction cost line-item or square footage of unit.","")</f>
        <v>#N/A</v>
      </c>
      <c r="D58" s="494"/>
      <c r="E58" s="494"/>
      <c r="F58" s="494"/>
      <c r="G58" s="494"/>
      <c r="H58" s="494"/>
      <c r="I58" s="495"/>
    </row>
    <row r="59" spans="1:9" ht="26.5" x14ac:dyDescent="0.35">
      <c r="A59" s="283" t="s">
        <v>430</v>
      </c>
      <c r="B59" s="281" t="e">
        <f>IF(B4="HANC","Not Applicable",IF(C21&lt;=N21,"PASS","FAIL"))</f>
        <v>#N/A</v>
      </c>
      <c r="C59" s="493" t="e">
        <f>IF(B59="FAIL","Total Construction costs exceed Project cost limitations. Reduce Construction Cost line-item amount.","")</f>
        <v>#N/A</v>
      </c>
      <c r="D59" s="494"/>
      <c r="E59" s="494"/>
      <c r="F59" s="494"/>
      <c r="G59" s="494"/>
      <c r="H59" s="494"/>
      <c r="I59" s="495"/>
    </row>
    <row r="60" spans="1:9" ht="14.5" x14ac:dyDescent="0.35">
      <c r="A60" s="283" t="s">
        <v>443</v>
      </c>
      <c r="B60" s="281" t="str">
        <f>IF(B4="HANC","Not Applicable",IF(C25&lt;=45000,"PASS","FAIL"))</f>
        <v>PASS</v>
      </c>
      <c r="C60" s="493" t="str">
        <f>IF(OR(B60="Pass",B4="HANC")," ","Additional hard costs for Environmental Mitigation, Accessibility Features, or Aerobic Septic exceed limitations.")</f>
        <v xml:space="preserve"> </v>
      </c>
      <c r="D60" s="494"/>
      <c r="E60" s="494"/>
      <c r="F60" s="494"/>
      <c r="G60" s="494"/>
      <c r="H60" s="494"/>
      <c r="I60" s="495"/>
    </row>
    <row r="61" spans="1:9" ht="15" customHeight="1" x14ac:dyDescent="0.3">
      <c r="A61" s="282" t="s">
        <v>444</v>
      </c>
      <c r="B61" s="281" t="e">
        <f>IF(C45&lt;=Q20,"PASS","FAIL")</f>
        <v>#N/A</v>
      </c>
      <c r="C61" s="423" t="e">
        <f>IF(B61="FAIL","Construction Project Soft Costs exceed limitations.  Reduce Construction Project Soft Costs line-item amount.","")</f>
        <v>#N/A</v>
      </c>
      <c r="D61" s="424"/>
      <c r="E61" s="424"/>
      <c r="F61" s="424"/>
      <c r="G61" s="424"/>
      <c r="H61" s="424"/>
      <c r="I61" s="425"/>
    </row>
    <row r="62" spans="1:9" ht="15" customHeight="1" x14ac:dyDescent="0.3">
      <c r="A62" s="282" t="s">
        <v>445</v>
      </c>
      <c r="B62" s="281" t="str">
        <f>IF(AND(C46&lt;=1500,OR(B4="CFD",B4="HANC")),"PASS",IF(OR(B4="SFD",B4="HRA",C46="0"),"NOT APPLICABLE","FAIL"))</f>
        <v>FAIL</v>
      </c>
      <c r="C62" s="423" t="str">
        <f>IF(B62="FAIL","Acquisition Project Soft Costs exceed exceed allowable costs.  Reduce Acquistion Project Soft Costs line-item amount.","")</f>
        <v>Acquisition Project Soft Costs exceed exceed allowable costs.  Reduce Acquistion Project Soft Costs line-item amount.</v>
      </c>
      <c r="D62" s="424"/>
      <c r="E62" s="424"/>
      <c r="F62" s="424"/>
      <c r="G62" s="424"/>
      <c r="H62" s="424"/>
      <c r="I62" s="425"/>
    </row>
    <row r="63" spans="1:9" x14ac:dyDescent="0.3">
      <c r="A63" s="284" t="s">
        <v>458</v>
      </c>
      <c r="B63" s="285" t="str">
        <f>IF(AND(TOTAL_MATCH_BUDGETED&gt;=H3,H2&gt;0),"PASS",IF(H2=0,"NOT APPLICABLE","FAIL"))</f>
        <v>NOT APPLICABLE</v>
      </c>
      <c r="C63" s="424" t="str">
        <f>IF(B63="FAIL","Required Match amount not budgeted. Increase budgeted Match contribution.","")</f>
        <v/>
      </c>
      <c r="D63" s="424"/>
      <c r="E63" s="424"/>
      <c r="F63" s="424"/>
      <c r="G63" s="424"/>
      <c r="H63" s="424"/>
      <c r="I63" s="424"/>
    </row>
    <row r="64" spans="1:9" ht="13.5" thickBot="1" x14ac:dyDescent="0.35">
      <c r="A64" s="286" t="str">
        <f>IF($E$3=$M$10,"8. Developer Fee is within limits:","8. Reserved for SFD.")</f>
        <v>8. Developer Fee is within limits:</v>
      </c>
      <c r="B64" s="285" t="str">
        <f>IF(AND(E3=M10,B18&lt;=(SUM((B14+B15+B16+B19+B20+B22)*0.15))),"PASS",IF(AND(E3=M10,B18&gt;(SUM(B14+B15+B16+B19+B20+B22)*0.15)),"FAIL","NOT APPLICABLE"))</f>
        <v>PASS</v>
      </c>
      <c r="C64" s="424" t="str">
        <f>IF(B64="FAIL","Budgeted amount for Building Contractor Fee exceeds limitations.  Reduce Building Contractor Fee line-item amount.", "")</f>
        <v/>
      </c>
      <c r="D64" s="424"/>
      <c r="E64" s="424"/>
      <c r="F64" s="424"/>
      <c r="G64" s="424"/>
      <c r="H64" s="424"/>
      <c r="I64" s="424"/>
    </row>
    <row r="65" spans="1:9" ht="14" thickTop="1" thickBot="1" x14ac:dyDescent="0.35">
      <c r="A65" s="286" t="str">
        <f>IF($E$3=$M$10,"9. Building Contractor Fee Within Limits:","9. Reserved for SFD.")</f>
        <v>9. Building Contractor Fee Within Limits:</v>
      </c>
      <c r="B65" s="287" t="str">
        <f>IF(AND(E3=M10,B30&lt;=(B27*0.15)),"PASS",IF(AND(E3=M10,B30&gt;(B27*0.15)),"FAIL","NOT APPLICABLE"))</f>
        <v>PASS</v>
      </c>
      <c r="C65" s="440" t="str">
        <f>IF(B65="FAIL","Developer Fee exceeds 15% of Hard Construction Costs.  Reduce Developer Fee line-item amount.","")</f>
        <v/>
      </c>
      <c r="D65" s="440"/>
      <c r="E65" s="440"/>
      <c r="F65" s="440"/>
      <c r="G65" s="440"/>
      <c r="H65" s="440"/>
      <c r="I65" s="441"/>
    </row>
    <row r="66" spans="1:9" ht="13.5" thickTop="1" x14ac:dyDescent="0.3">
      <c r="A66" s="426" t="s">
        <v>201</v>
      </c>
      <c r="B66" s="427"/>
      <c r="C66" s="427"/>
      <c r="D66" s="427"/>
      <c r="E66" s="427"/>
      <c r="F66" s="427"/>
      <c r="G66" s="427"/>
      <c r="H66" s="427"/>
      <c r="I66" s="428"/>
    </row>
    <row r="67" spans="1:9" ht="14.5" x14ac:dyDescent="0.35">
      <c r="A67" s="288" t="s">
        <v>178</v>
      </c>
      <c r="B67" s="490" t="s">
        <v>136</v>
      </c>
      <c r="C67" s="491"/>
      <c r="D67" s="492"/>
      <c r="E67" s="289"/>
      <c r="F67" s="290" t="s">
        <v>174</v>
      </c>
      <c r="G67" s="30">
        <v>0</v>
      </c>
      <c r="H67" s="291"/>
      <c r="I67" s="128"/>
    </row>
    <row r="68" spans="1:9" ht="14.5" x14ac:dyDescent="0.35">
      <c r="A68" s="288" t="s">
        <v>181</v>
      </c>
      <c r="B68" s="490" t="s">
        <v>136</v>
      </c>
      <c r="C68" s="491"/>
      <c r="D68" s="492"/>
      <c r="E68" s="289"/>
      <c r="F68" s="290" t="s">
        <v>174</v>
      </c>
      <c r="G68" s="30">
        <v>0</v>
      </c>
      <c r="H68" s="292"/>
      <c r="I68" s="270"/>
    </row>
    <row r="69" spans="1:9" ht="14.5" x14ac:dyDescent="0.35">
      <c r="A69" s="288" t="s">
        <v>179</v>
      </c>
      <c r="B69" s="490" t="s">
        <v>136</v>
      </c>
      <c r="C69" s="491"/>
      <c r="D69" s="492"/>
      <c r="E69" s="289"/>
      <c r="F69" s="290" t="s">
        <v>174</v>
      </c>
      <c r="G69" s="30">
        <v>0</v>
      </c>
      <c r="H69" s="292"/>
      <c r="I69" s="270"/>
    </row>
    <row r="70" spans="1:9" ht="14.5" x14ac:dyDescent="0.35">
      <c r="A70" s="288" t="s">
        <v>180</v>
      </c>
      <c r="B70" s="490" t="s">
        <v>136</v>
      </c>
      <c r="C70" s="491"/>
      <c r="D70" s="492"/>
      <c r="E70" s="289"/>
      <c r="F70" s="290" t="s">
        <v>174</v>
      </c>
      <c r="G70" s="30">
        <v>0</v>
      </c>
      <c r="H70" s="292"/>
      <c r="I70" s="270"/>
    </row>
    <row r="71" spans="1:9" ht="14.5" x14ac:dyDescent="0.35">
      <c r="A71" s="288" t="s">
        <v>182</v>
      </c>
      <c r="B71" s="490" t="s">
        <v>136</v>
      </c>
      <c r="C71" s="491"/>
      <c r="D71" s="492"/>
      <c r="E71" s="289"/>
      <c r="F71" s="290" t="s">
        <v>174</v>
      </c>
      <c r="G71" s="30">
        <v>0</v>
      </c>
      <c r="H71" s="292"/>
      <c r="I71" s="270"/>
    </row>
    <row r="72" spans="1:9" ht="14.5" x14ac:dyDescent="0.35">
      <c r="A72" s="288" t="s">
        <v>183</v>
      </c>
      <c r="B72" s="490" t="s">
        <v>136</v>
      </c>
      <c r="C72" s="491"/>
      <c r="D72" s="492"/>
      <c r="E72" s="289"/>
      <c r="F72" s="290" t="s">
        <v>174</v>
      </c>
      <c r="G72" s="30">
        <v>0</v>
      </c>
      <c r="H72" s="292"/>
      <c r="I72" s="270"/>
    </row>
    <row r="73" spans="1:9" ht="14.5" x14ac:dyDescent="0.35">
      <c r="A73" s="288" t="s">
        <v>184</v>
      </c>
      <c r="B73" s="490" t="s">
        <v>136</v>
      </c>
      <c r="C73" s="491"/>
      <c r="D73" s="492"/>
      <c r="E73" s="289"/>
      <c r="F73" s="290" t="s">
        <v>174</v>
      </c>
      <c r="G73" s="30">
        <v>0</v>
      </c>
      <c r="H73" s="292"/>
      <c r="I73" s="270"/>
    </row>
    <row r="74" spans="1:9" ht="14.5" x14ac:dyDescent="0.35">
      <c r="A74" s="288" t="s">
        <v>185</v>
      </c>
      <c r="B74" s="490" t="s">
        <v>136</v>
      </c>
      <c r="C74" s="491"/>
      <c r="D74" s="492"/>
      <c r="E74" s="289"/>
      <c r="F74" s="290" t="s">
        <v>174</v>
      </c>
      <c r="G74" s="30">
        <v>0</v>
      </c>
      <c r="H74" s="292"/>
      <c r="I74" s="270"/>
    </row>
    <row r="75" spans="1:9" ht="14.5" customHeight="1" x14ac:dyDescent="0.3">
      <c r="A75" s="288" t="s">
        <v>186</v>
      </c>
      <c r="B75" s="487" t="s">
        <v>136</v>
      </c>
      <c r="C75" s="488"/>
      <c r="D75" s="489"/>
      <c r="E75" s="289"/>
      <c r="F75" s="290" t="s">
        <v>174</v>
      </c>
      <c r="G75" s="30">
        <v>0</v>
      </c>
      <c r="H75" s="292"/>
      <c r="I75" s="270"/>
    </row>
    <row r="76" spans="1:9" ht="14.5" customHeight="1" x14ac:dyDescent="0.3">
      <c r="A76" s="288" t="s">
        <v>187</v>
      </c>
      <c r="B76" s="487" t="s">
        <v>136</v>
      </c>
      <c r="C76" s="488"/>
      <c r="D76" s="489"/>
      <c r="E76" s="289"/>
      <c r="F76" s="290" t="s">
        <v>174</v>
      </c>
      <c r="G76" s="30">
        <v>0</v>
      </c>
      <c r="H76" s="292"/>
      <c r="I76" s="270"/>
    </row>
    <row r="77" spans="1:9" ht="14.5" customHeight="1" x14ac:dyDescent="0.35">
      <c r="A77" s="288" t="s">
        <v>229</v>
      </c>
      <c r="B77" s="490" t="s">
        <v>136</v>
      </c>
      <c r="C77" s="491"/>
      <c r="D77" s="492"/>
      <c r="E77" s="289"/>
      <c r="F77" s="290" t="s">
        <v>174</v>
      </c>
      <c r="G77" s="30">
        <v>0</v>
      </c>
      <c r="H77" s="292"/>
      <c r="I77" s="270"/>
    </row>
    <row r="78" spans="1:9" ht="14.5" customHeight="1" x14ac:dyDescent="0.35">
      <c r="A78" s="288" t="s">
        <v>230</v>
      </c>
      <c r="B78" s="490" t="s">
        <v>136</v>
      </c>
      <c r="C78" s="491"/>
      <c r="D78" s="492"/>
      <c r="E78" s="289"/>
      <c r="F78" s="290" t="s">
        <v>174</v>
      </c>
      <c r="G78" s="30">
        <v>0</v>
      </c>
      <c r="H78" s="292"/>
      <c r="I78" s="270"/>
    </row>
    <row r="79" spans="1:9" ht="14.5" customHeight="1" x14ac:dyDescent="0.3">
      <c r="A79" s="288" t="s">
        <v>231</v>
      </c>
      <c r="B79" s="487" t="s">
        <v>136</v>
      </c>
      <c r="C79" s="488"/>
      <c r="D79" s="489"/>
      <c r="E79" s="289"/>
      <c r="F79" s="290" t="s">
        <v>174</v>
      </c>
      <c r="G79" s="30">
        <v>0</v>
      </c>
      <c r="H79" s="292"/>
      <c r="I79" s="270"/>
    </row>
    <row r="80" spans="1:9" x14ac:dyDescent="0.3">
      <c r="A80" s="288" t="s">
        <v>232</v>
      </c>
      <c r="B80" s="487"/>
      <c r="C80" s="488"/>
      <c r="D80" s="489"/>
      <c r="E80" s="289"/>
      <c r="F80" s="290" t="s">
        <v>174</v>
      </c>
      <c r="G80" s="30">
        <v>0</v>
      </c>
      <c r="H80" s="292"/>
      <c r="I80" s="270"/>
    </row>
    <row r="81" spans="1:9" x14ac:dyDescent="0.3">
      <c r="A81" s="288" t="s">
        <v>233</v>
      </c>
      <c r="B81" s="487"/>
      <c r="C81" s="488"/>
      <c r="D81" s="489"/>
      <c r="E81" s="289"/>
      <c r="F81" s="290" t="s">
        <v>174</v>
      </c>
      <c r="G81" s="30">
        <v>0</v>
      </c>
      <c r="H81" s="292"/>
      <c r="I81" s="270"/>
    </row>
    <row r="82" spans="1:9" ht="13.5" thickBot="1" x14ac:dyDescent="0.35">
      <c r="A82" s="293"/>
      <c r="B82" s="294"/>
      <c r="C82" s="294"/>
      <c r="D82" s="294"/>
      <c r="E82" s="295"/>
      <c r="F82" s="296" t="s">
        <v>160</v>
      </c>
      <c r="G82" s="297">
        <f>SUM(G67:G81)</f>
        <v>0</v>
      </c>
      <c r="H82" s="298"/>
      <c r="I82" s="277"/>
    </row>
    <row r="83" spans="1:9" ht="13.5" thickTop="1" x14ac:dyDescent="0.3">
      <c r="A83" s="415"/>
      <c r="B83" s="416"/>
      <c r="C83" s="416"/>
      <c r="D83" s="416"/>
      <c r="E83" s="416"/>
      <c r="F83" s="417"/>
      <c r="G83" s="416"/>
      <c r="H83" s="416"/>
      <c r="I83" s="418"/>
    </row>
    <row r="84" spans="1:9" x14ac:dyDescent="0.3">
      <c r="A84" s="415"/>
      <c r="B84" s="416"/>
      <c r="C84" s="416"/>
      <c r="D84" s="416"/>
      <c r="E84" s="416"/>
      <c r="F84" s="417"/>
      <c r="G84" s="416"/>
      <c r="H84" s="416"/>
      <c r="I84" s="418"/>
    </row>
    <row r="85" spans="1:9" x14ac:dyDescent="0.3">
      <c r="A85" s="415"/>
      <c r="B85" s="416"/>
      <c r="C85" s="416"/>
      <c r="D85" s="416"/>
      <c r="E85" s="416"/>
      <c r="F85" s="417"/>
      <c r="G85" s="416"/>
      <c r="H85" s="416"/>
      <c r="I85" s="418"/>
    </row>
    <row r="86" spans="1:9" x14ac:dyDescent="0.3">
      <c r="A86" s="415"/>
      <c r="B86" s="416"/>
      <c r="C86" s="416"/>
      <c r="D86" s="416"/>
      <c r="E86" s="416"/>
      <c r="F86" s="417"/>
      <c r="G86" s="416"/>
      <c r="H86" s="416"/>
      <c r="I86" s="418"/>
    </row>
    <row r="87" spans="1:9" x14ac:dyDescent="0.3">
      <c r="A87" s="415"/>
      <c r="B87" s="416"/>
      <c r="C87" s="416"/>
      <c r="D87" s="416"/>
      <c r="E87" s="416"/>
      <c r="F87" s="417"/>
      <c r="G87" s="416"/>
      <c r="H87" s="416"/>
      <c r="I87" s="418"/>
    </row>
    <row r="88" spans="1:9" x14ac:dyDescent="0.3">
      <c r="A88" s="415"/>
      <c r="B88" s="416"/>
      <c r="C88" s="416"/>
      <c r="D88" s="416"/>
      <c r="E88" s="416"/>
      <c r="F88" s="417"/>
      <c r="G88" s="416"/>
      <c r="H88" s="416"/>
      <c r="I88" s="418"/>
    </row>
    <row r="89" spans="1:9" x14ac:dyDescent="0.3">
      <c r="A89" s="415"/>
      <c r="B89" s="416"/>
      <c r="C89" s="416"/>
      <c r="D89" s="416"/>
      <c r="E89" s="416"/>
      <c r="F89" s="417"/>
      <c r="G89" s="416"/>
      <c r="H89" s="416"/>
      <c r="I89" s="418"/>
    </row>
    <row r="90" spans="1:9" x14ac:dyDescent="0.3">
      <c r="A90" s="419"/>
      <c r="B90" s="420"/>
      <c r="C90" s="420"/>
      <c r="D90" s="420"/>
      <c r="E90" s="420"/>
      <c r="F90" s="421"/>
      <c r="G90" s="420"/>
      <c r="H90" s="420"/>
      <c r="I90" s="422"/>
    </row>
    <row r="91" spans="1:9" ht="23.5" customHeight="1" x14ac:dyDescent="0.3">
      <c r="A91" s="299" t="s">
        <v>381</v>
      </c>
      <c r="B91" s="300"/>
      <c r="C91" s="299" t="s">
        <v>374</v>
      </c>
      <c r="D91" s="414"/>
    </row>
    <row r="92" spans="1:9" x14ac:dyDescent="0.3"/>
    <row r="93" spans="1:9" ht="14.5" x14ac:dyDescent="0.35">
      <c r="A93" s="256" t="s">
        <v>121</v>
      </c>
    </row>
    <row r="94" spans="1:9" x14ac:dyDescent="0.3">
      <c r="A94" s="329" t="str">
        <f>CONCATENATE(Beginning_of_Final_Budget_Form," ",E2)</f>
        <v xml:space="preserve"> </v>
      </c>
    </row>
    <row r="118" spans="5:9" ht="14.5" hidden="1" x14ac:dyDescent="0.35">
      <c r="E118" s="376"/>
      <c r="F118" s="376"/>
      <c r="G118" s="376"/>
      <c r="H118" s="376"/>
      <c r="I118" s="376"/>
    </row>
    <row r="119" spans="5:9" ht="14.5" hidden="1" x14ac:dyDescent="0.35">
      <c r="E119" s="376"/>
      <c r="F119" s="376"/>
      <c r="G119" s="376"/>
      <c r="H119" s="376"/>
      <c r="I119" s="376"/>
    </row>
    <row r="120" spans="5:9" ht="14.5" hidden="1" x14ac:dyDescent="0.35">
      <c r="E120" s="376"/>
      <c r="F120" s="376"/>
      <c r="G120" s="376"/>
      <c r="H120" s="376"/>
      <c r="I120" s="376"/>
    </row>
    <row r="121" spans="5:9" ht="14.5" hidden="1" x14ac:dyDescent="0.35">
      <c r="E121" s="376"/>
      <c r="F121" s="376"/>
      <c r="G121" s="376"/>
      <c r="H121" s="376"/>
      <c r="I121" s="376"/>
    </row>
    <row r="122" spans="5:9" ht="14.5" hidden="1" x14ac:dyDescent="0.35">
      <c r="E122" s="376"/>
      <c r="F122" s="376"/>
      <c r="G122" s="376"/>
      <c r="H122" s="376"/>
      <c r="I122" s="376"/>
    </row>
    <row r="123" spans="5:9" ht="14.5" hidden="1" x14ac:dyDescent="0.35">
      <c r="E123" s="376"/>
      <c r="F123" s="376"/>
      <c r="G123" s="376"/>
      <c r="H123" s="376"/>
      <c r="I123" s="376"/>
    </row>
    <row r="124" spans="5:9" ht="14.5" hidden="1" x14ac:dyDescent="0.35">
      <c r="E124" s="376"/>
      <c r="F124" s="376"/>
      <c r="G124" s="376"/>
      <c r="H124" s="376"/>
      <c r="I124" s="376"/>
    </row>
    <row r="125" spans="5:9" ht="14.5" hidden="1" x14ac:dyDescent="0.35">
      <c r="E125" s="376"/>
      <c r="F125" s="376"/>
      <c r="G125" s="376"/>
      <c r="H125" s="376"/>
      <c r="I125" s="376"/>
    </row>
    <row r="126" spans="5:9" ht="14.5" hidden="1" x14ac:dyDescent="0.35">
      <c r="E126" s="376"/>
      <c r="F126" s="376"/>
      <c r="G126" s="376"/>
      <c r="H126" s="376"/>
      <c r="I126" s="376"/>
    </row>
    <row r="127" spans="5:9" x14ac:dyDescent="0.3"/>
    <row r="128" spans="5:9" x14ac:dyDescent="0.3">
      <c r="I128" s="276" t="s">
        <v>479</v>
      </c>
    </row>
    <row r="130" x14ac:dyDescent="0.3"/>
    <row r="131" x14ac:dyDescent="0.3"/>
    <row r="133" x14ac:dyDescent="0.3"/>
  </sheetData>
  <sheetProtection algorithmName="SHA-512" hashValue="Sy78Wbpy80M+xO6jgAYF30aQnioAf+H/fissyhGG3pB0oy7Q4E2NQ89KULcceTeM3/NxiM135dBgCjPu0IXnnA==" saltValue="SleTUtp3Hb8QF3ekwPYg8w==" spinCount="100000" sheet="1" objects="1" scenarios="1"/>
  <mergeCells count="25">
    <mergeCell ref="C58:I58"/>
    <mergeCell ref="C57:I57"/>
    <mergeCell ref="C2:D2"/>
    <mergeCell ref="C3:D3"/>
    <mergeCell ref="C4:D4"/>
    <mergeCell ref="C5:D5"/>
    <mergeCell ref="A6:E6"/>
    <mergeCell ref="E3:F3"/>
    <mergeCell ref="B81:D81"/>
    <mergeCell ref="B76:D76"/>
    <mergeCell ref="B79:D79"/>
    <mergeCell ref="B80:D80"/>
    <mergeCell ref="B78:D78"/>
    <mergeCell ref="B77:D77"/>
    <mergeCell ref="B75:D75"/>
    <mergeCell ref="B70:D70"/>
    <mergeCell ref="B71:D71"/>
    <mergeCell ref="C60:I60"/>
    <mergeCell ref="C59:I59"/>
    <mergeCell ref="B72:D72"/>
    <mergeCell ref="B73:D73"/>
    <mergeCell ref="B74:D74"/>
    <mergeCell ref="B67:D67"/>
    <mergeCell ref="B68:D68"/>
    <mergeCell ref="B69:D69"/>
  </mergeCells>
  <conditionalFormatting sqref="B57 B59:B65">
    <cfRule type="cellIs" dxfId="6" priority="12" stopIfTrue="1" operator="equal">
      <formula>"No"</formula>
    </cfRule>
  </conditionalFormatting>
  <conditionalFormatting sqref="C57:C65 C64:E64 D61:I64">
    <cfRule type="containsText" dxfId="5" priority="11" stopIfTrue="1" operator="containsText" text="Exceed">
      <formula>NOT(ISERROR(SEARCH("Exceed",C57)))</formula>
    </cfRule>
  </conditionalFormatting>
  <conditionalFormatting sqref="B57:B65">
    <cfRule type="cellIs" dxfId="4" priority="8" stopIfTrue="1" operator="equal">
      <formula>"FAIL"</formula>
    </cfRule>
  </conditionalFormatting>
  <conditionalFormatting sqref="C63:I63">
    <cfRule type="containsText" dxfId="3" priority="1" stopIfTrue="1" operator="containsText" text="not">
      <formula>NOT(ISERROR(SEARCH("not",C63)))</formula>
    </cfRule>
  </conditionalFormatting>
  <dataValidations xWindow="1352" yWindow="569" count="123">
    <dataValidation allowBlank="1" showInputMessage="1" showErrorMessage="1" prompt="Enter Alternate Selection 10" sqref="B76:D76" xr:uid="{00000000-0002-0000-0200-000000000000}"/>
    <dataValidation allowBlank="1" showInputMessage="1" showErrorMessage="1" prompt="Enter Alternate Selection 9" sqref="B75:D75" xr:uid="{00000000-0002-0000-0200-000001000000}"/>
    <dataValidation allowBlank="1" showInputMessage="1" showErrorMessage="1" prompt="Enter Alternate Selection 1" sqref="B67:D67" xr:uid="{00000000-0002-0000-0200-000002000000}"/>
    <dataValidation allowBlank="1" showInputMessage="1" showErrorMessage="1" prompt="Enter Alternate Selection 2" sqref="B68:D68" xr:uid="{00000000-0002-0000-0200-000003000000}"/>
    <dataValidation allowBlank="1" showInputMessage="1" showErrorMessage="1" prompt="Enter Alternate Selection 3" sqref="B69:D69" xr:uid="{00000000-0002-0000-0200-000004000000}"/>
    <dataValidation allowBlank="1" showInputMessage="1" showErrorMessage="1" prompt="Enter Alternate Selection 4" sqref="B70:D70" xr:uid="{00000000-0002-0000-0200-000005000000}"/>
    <dataValidation allowBlank="1" showInputMessage="1" showErrorMessage="1" prompt="Enter Alternate Selection 5" sqref="B71:D71" xr:uid="{00000000-0002-0000-0200-000006000000}"/>
    <dataValidation allowBlank="1" showInputMessage="1" showErrorMessage="1" prompt="Enter Alternate Selection 6" sqref="B72:D72" xr:uid="{00000000-0002-0000-0200-000007000000}"/>
    <dataValidation allowBlank="1" showInputMessage="1" showErrorMessage="1" prompt="Enter Alternate Selection 7" sqref="B73:D73" xr:uid="{00000000-0002-0000-0200-000008000000}"/>
    <dataValidation allowBlank="1" showInputMessage="1" showErrorMessage="1" prompt="Enter Alternate Selection 8" sqref="B74:D74" xr:uid="{00000000-0002-0000-0200-000009000000}"/>
    <dataValidation allowBlank="1" showInputMessage="1" showErrorMessage="1" prompt="Alternate Selection Bid Price" sqref="G67:G81" xr:uid="{00000000-0002-0000-0200-00000A000000}"/>
    <dataValidation allowBlank="1" showInputMessage="1" showErrorMessage="1" prompt="Total Match provided" sqref="H52" xr:uid="{00000000-0002-0000-0200-00000B000000}"/>
    <dataValidation allowBlank="1" showInputMessage="1" showErrorMessage="1" promptTitle="Eligibility Criteria" prompt="Row 7: Acquistion Project Soft Costs within limits" sqref="M18" xr:uid="{00000000-0002-0000-0200-00000C000000}"/>
    <dataValidation allowBlank="1" showInputMessage="1" showErrorMessage="1" promptTitle="Eligibility Criteria" prompt="Row 1: Acquistion Costs Within Limits" sqref="A57" xr:uid="{00000000-0002-0000-0200-00000D000000}"/>
    <dataValidation allowBlank="1" showInputMessage="1" showErrorMessage="1" promptTitle="Eligibility Criteria" prompt="Row 2: Allowable Amount per Square Foot" sqref="A58" xr:uid="{00000000-0002-0000-0200-00000E000000}"/>
    <dataValidation allowBlank="1" showInputMessage="1" showErrorMessage="1" promptTitle="Eligibility Criteria" prompt="Row 3: Total conctruction or MHU replacement costs within limits" sqref="A59" xr:uid="{00000000-0002-0000-0200-00000F000000}"/>
    <dataValidation allowBlank="1" showInputMessage="1" showErrorMessage="1" promptTitle="Eligibility Criteria" prompt="Row 5: Construction Project Soft Costs within limits" sqref="A61" xr:uid="{00000000-0002-0000-0200-000010000000}"/>
    <dataValidation allowBlank="1" showInputMessage="1" showErrorMessage="1" promptTitle="Other Project Soft Costs" prompt="Total HOME and Match Project soft costs" sqref="B47" xr:uid="{00000000-0002-0000-0200-000011000000}"/>
    <dataValidation allowBlank="1" showInputMessage="1" showErrorMessage="1" promptTitle="Other Project Soft Costs" prompt="Total HOME budget" sqref="C47" xr:uid="{00000000-0002-0000-0200-000012000000}"/>
    <dataValidation allowBlank="1" showInputMessage="1" showErrorMessage="1" promptTitle="Other Project Soft Costs" prompt="Total HOME costs incurred to date" sqref="D47" xr:uid="{00000000-0002-0000-0200-000013000000}"/>
    <dataValidation allowBlank="1" showInputMessage="1" showErrorMessage="1" promptTitle="Other Project Soft Costs" prompt="Total Match and Leverage Budget" sqref="E47" xr:uid="{00000000-0002-0000-0200-000014000000}"/>
    <dataValidation allowBlank="1" showInputMessage="1" showErrorMessage="1" promptTitle="Other Project Soft Costs" prompt="Total Match provided" sqref="H47" xr:uid="{00000000-0002-0000-0200-000015000000}"/>
    <dataValidation allowBlank="1" showInputMessage="1" showErrorMessage="1" promptTitle="Other Project Soft Costs" prompt="Total remaining in budget" sqref="I47" xr:uid="{00000000-0002-0000-0200-000016000000}"/>
    <dataValidation allowBlank="1" showInputMessage="1" showErrorMessage="1" prompt="Total Project Cost" sqref="C49" xr:uid="{00000000-0002-0000-0200-000017000000}"/>
    <dataValidation allowBlank="1" showInputMessage="1" showErrorMessage="1" prompt="Total HOME funds drawn and requested to date" sqref="D50" xr:uid="{00000000-0002-0000-0200-000018000000}"/>
    <dataValidation allowBlank="1" showInputMessage="1" showErrorMessage="1" prompt="Total Match budgeted" sqref="E51 E53" xr:uid="{00000000-0002-0000-0200-000019000000}"/>
    <dataValidation allowBlank="1" showInputMessage="1" showErrorMessage="1" prompt="Total remianing in all budget categories" sqref="I49" xr:uid="{00000000-0002-0000-0200-00001A000000}"/>
    <dataValidation allowBlank="1" showInputMessage="1" showErrorMessage="1" prompt="Total HOME and Match Project cost" sqref="B49" xr:uid="{00000000-0002-0000-0200-00001B000000}"/>
    <dataValidation allowBlank="1" showInputMessage="1" showErrorMessage="1" prompt="HOME costs incurred to date" sqref="D30:D33 D45:D46 D35:D41 D14:D20 D9:D10 D22:D24" xr:uid="{00000000-0002-0000-0200-00001C000000}"/>
    <dataValidation allowBlank="1" showInputMessage="1" showErrorMessage="1" prompt="Match/Leverage budget" sqref="E22:E25 E14:E20 E9:E10 E35:E41 H27:I27 E27 E45:E46" xr:uid="{00000000-0002-0000-0200-00001D000000}"/>
    <dataValidation allowBlank="1" showInputMessage="1" showErrorMessage="1" prompt="Source of Match" sqref="G45:G46" xr:uid="{00000000-0002-0000-0200-00001E000000}"/>
    <dataValidation allowBlank="1" showInputMessage="1" showErrorMessage="1" prompt="Match provided" sqref="H22:H25 H35:H41 H45:H46 H14:H20 H9:H10" xr:uid="{00000000-0002-0000-0200-00001F000000}"/>
    <dataValidation allowBlank="1" showInputMessage="1" showErrorMessage="1" prompt="Remaining in budget" sqref="I22:I25 I14:I20 I45:I46 I30:I33 I9:I10 I35:I41" xr:uid="{00000000-0002-0000-0200-000020000000}"/>
    <dataValidation allowBlank="1" showInputMessage="1" showErrorMessage="1" promptTitle="Other Project Soft Costs" prompt="Total HOME and Match Acquisition Project Soft Costs " sqref="B46" xr:uid="{00000000-0002-0000-0200-000021000000}"/>
    <dataValidation allowBlank="1" showInputMessage="1" showErrorMessage="1" promptTitle="Eligibility Criteria" prompt="Row 6: Construction Project Soft Costs within limits" sqref="M17" xr:uid="{00000000-0002-0000-0200-000022000000}"/>
    <dataValidation allowBlank="1" showInputMessage="1" showErrorMessage="1" promptTitle="Construction Hard Costs" prompt="HOME Budget Project Cost per Square Foot (excludes Match)" sqref="C26" xr:uid="{00000000-0002-0000-0200-000023000000}"/>
    <dataValidation allowBlank="1" showInputMessage="1" showErrorMessage="1" promptTitle="Third Party Closing Costs" prompt="Total HOME and Match Appraisal Costs" sqref="B35" xr:uid="{00000000-0002-0000-0200-000024000000}"/>
    <dataValidation allowBlank="1" showInputMessage="1" showErrorMessage="1" promptTitle="Third Party Closing Costs" prompt="Total HOME and Match Title Work Costs" sqref="B37" xr:uid="{00000000-0002-0000-0200-000025000000}"/>
    <dataValidation allowBlank="1" showInputMessage="1" showErrorMessage="1" promptTitle="Closing Costs" prompt="Total HOME and Match Budget for Third Party Costs  " sqref="B42" xr:uid="{00000000-0002-0000-0200-00002A000000}"/>
    <dataValidation allowBlank="1" showInputMessage="1" showErrorMessage="1" promptTitle="Closing Costs" prompt="Total HOME Budget for Third Party Costs (excludes Match)" sqref="C42" xr:uid="{00000000-0002-0000-0200-00002B000000}"/>
    <dataValidation allowBlank="1" showInputMessage="1" showErrorMessage="1" promptTitle="Third Party Costs" prompt="Total HOME costs incurred to date" sqref="D42" xr:uid="{00000000-0002-0000-0200-00002C000000}"/>
    <dataValidation allowBlank="1" showInputMessage="1" showErrorMessage="1" promptTitle="Closing Costs" prompt="Total Match and Leverage Budget" sqref="E42" xr:uid="{00000000-0002-0000-0200-00002D000000}"/>
    <dataValidation allowBlank="1" showInputMessage="1" showErrorMessage="1" promptTitle="Closing Costs" prompt="Total Match provided" sqref="H42" xr:uid="{00000000-0002-0000-0200-00002E000000}"/>
    <dataValidation allowBlank="1" showInputMessage="1" showErrorMessage="1" promptTitle="Closing Costs" prompt="Total remaining in budget" sqref="I42" xr:uid="{00000000-0002-0000-0200-00002F000000}"/>
    <dataValidation operator="lessThanOrEqual" allowBlank="1" showInputMessage="1" showErrorMessage="1" errorTitle="Cost exceeds $5,000.00" error="The limitation on additional sitework is $5,000.  Reduce the budgeted amount to continue." promptTitle="Total Construction Hard Costs" prompt="Total HOME and Match Project Budget for Hard Construction Costs" sqref="B27:C27" xr:uid="{00000000-0002-0000-0200-000030000000}"/>
    <dataValidation allowBlank="1" showInputMessage="1" showErrorMessage="1" promptTitle="Construction Costs" prompt="Total budgeted construction costs (including HOME and Match)" sqref="E21" xr:uid="{00000000-0002-0000-0200-000031000000}"/>
    <dataValidation allowBlank="1" showInputMessage="1" showErrorMessage="1" promptTitle="Construction Costs" prompt="Total Match provided" sqref="H21" xr:uid="{00000000-0002-0000-0200-000032000000}"/>
    <dataValidation allowBlank="1" showInputMessage="1" showErrorMessage="1" promptTitle="Construction costs" prompt="Total remaining in budget" sqref="I21" xr:uid="{00000000-0002-0000-0200-000033000000}"/>
    <dataValidation allowBlank="1" showInputMessage="1" showErrorMessage="1" promptTitle="Construction Hard Costs" prompt="SFD Only:  Total HOME and Match Building Contractor Fee " sqref="B18 B30:C33" xr:uid="{00000000-0002-0000-0200-000034000000}"/>
    <dataValidation allowBlank="1" showInputMessage="1" showErrorMessage="1" promptTitle="Construction Hard Costs" prompt="HOME Budget for Additional Sitework Costs (excludes Match)" sqref="C25:D25" xr:uid="{00000000-0002-0000-0200-000035000000}"/>
    <dataValidation allowBlank="1" showInputMessage="1" showErrorMessage="1" promptTitle="Eligibility Criteria " prompt="Row 5: MHU Replacment Costs within Limits" sqref="M16" xr:uid="{00000000-0002-0000-0200-000036000000}"/>
    <dataValidation allowBlank="1" showInputMessage="1" showErrorMessage="1" promptTitle="Eligibility Criteria" prompt="Row 4: Total Rehabilitation Construction Costs within limits" sqref="M15" xr:uid="{00000000-0002-0000-0200-000037000000}"/>
    <dataValidation allowBlank="1" showInputMessage="1" showErrorMessage="1" promptTitle="Construction Hard Costs" prompt="Total HOME and Match Base Construction Project Hard Costs" sqref="B16" xr:uid="{00000000-0002-0000-0200-000038000000}"/>
    <dataValidation allowBlank="1" showInputMessage="1" showErrorMessage="1" promptTitle="Acquisition/Refinance Costs" prompt="Acquisition/refinance cost project budget, including HOME and Match" sqref="B9" xr:uid="{00000000-0002-0000-0200-000039000000}"/>
    <dataValidation allowBlank="1" showInputMessage="1" showErrorMessage="1" promptTitle="Construction Hard Costs" prompt="SFD Only:  Total HOME and Match Off-Site Costs" sqref="B14" xr:uid="{00000000-0002-0000-0200-00003A000000}"/>
    <dataValidation allowBlank="1" showInputMessage="1" showErrorMessage="1" promptTitle="Construction Hard Costs" prompt="Total HOME and Match Demolition and Disposal Costs" sqref="B15" xr:uid="{00000000-0002-0000-0200-00003B000000}"/>
    <dataValidation allowBlank="1" showInputMessage="1" showErrorMessage="1" promptTitle="Acquisition/Refinance Costs" prompt="Acquisition/refinance closing costs, including HOME and Match" sqref="B10" xr:uid="{00000000-0002-0000-0200-00003C000000}"/>
    <dataValidation allowBlank="1" showInputMessage="1" showErrorMessage="1" promptTitle="Acquisition/Refinance Costs" prompt="Total budgeted Acquisition and Refinance Costs, including HOME and Match" sqref="B11" xr:uid="{00000000-0002-0000-0200-00003D000000}"/>
    <dataValidation allowBlank="1" showInputMessage="1" showErrorMessage="1" promptTitle="Acquisition/Refinance Cost" prompt="Subtotal Project Budget for Acquisition/Refinance Costs (excludes Match)" sqref="C11" xr:uid="{00000000-0002-0000-0200-00003E000000}"/>
    <dataValidation allowBlank="1" showInputMessage="1" showErrorMessage="1" promptTitle="Acquistion/Refinance Costs" prompt="Total HOME costs incurred to date" sqref="D11" xr:uid="{00000000-0002-0000-0200-00003F000000}"/>
    <dataValidation allowBlank="1" showInputMessage="1" showErrorMessage="1" promptTitle="Acquisition/Refinance Costs" prompt="Total Match/Leverage budget" sqref="E11" xr:uid="{00000000-0002-0000-0200-000040000000}"/>
    <dataValidation allowBlank="1" showInputMessage="1" showErrorMessage="1" promptTitle="Acquisition/Refinance Costs" prompt="Total Match provided" sqref="H11" xr:uid="{00000000-0002-0000-0200-000041000000}"/>
    <dataValidation allowBlank="1" showInputMessage="1" showErrorMessage="1" promptTitle="Acquisition/Refinance Costs" prompt="Total remaining in budget" sqref="I11" xr:uid="{00000000-0002-0000-0200-000042000000}"/>
    <dataValidation allowBlank="1" showInputMessage="1" showErrorMessage="1" promptTitle="Construction Hard Costs" prompt="Total HOME and Match alternate construction item costs" sqref="B17" xr:uid="{00000000-0002-0000-0200-000043000000}"/>
    <dataValidation allowBlank="1" showInputMessage="1" showErrorMessage="1" prompt="HOME Budget for Acquisition Project Soft Costs (excludes Match)" sqref="C46" xr:uid="{00000000-0002-0000-0200-000044000000}"/>
    <dataValidation allowBlank="1" showInputMessage="1" showErrorMessage="1" promptTitle="Construction Hard Costs" prompt="Total HOME and Match Interim Financing Costs" sqref="B19 B25" xr:uid="{00000000-0002-0000-0200-000045000000}"/>
    <dataValidation allowBlank="1" showInputMessage="1" showErrorMessage="1" promptTitle="Construction Hard Costs" prompt="Subtotal HOME and Match Budgeted Construction Hard Costs" sqref="B21" xr:uid="{00000000-0002-0000-0200-000046000000}"/>
    <dataValidation allowBlank="1" showInputMessage="1" showErrorMessage="1" promptTitle="Construction Hard Costs" prompt="Project Cost per Square Foot" sqref="B26" xr:uid="{00000000-0002-0000-0200-000047000000}"/>
    <dataValidation allowBlank="1" showInputMessage="1" showErrorMessage="1" promptTitle="Construction Hard Costs" prompt="HOME Budget for Contingency Costs (excludes Match)" sqref="C20" xr:uid="{00000000-0002-0000-0200-000048000000}"/>
    <dataValidation allowBlank="1" showInputMessage="1" showErrorMessage="1" promptTitle="Construction Hard Costs" prompt="Subtotal HOME Budget for Construction Hard Costs " sqref="C21" xr:uid="{00000000-0002-0000-0200-000049000000}"/>
    <dataValidation allowBlank="1" showInputMessage="1" showErrorMessage="1" promptTitle="Construction Hard Costs" prompt="HOME Budget for Demolition and Disposal costs (excludes Match)" sqref="C15" xr:uid="{00000000-0002-0000-0200-00004A000000}"/>
    <dataValidation allowBlank="1" showInputMessage="1" showErrorMessage="1" promptTitle="Acquisition/Refinance Costs" prompt="Project Budget for Acquisition/Refinance Hard Costs (excludes Match)" sqref="C9" xr:uid="{00000000-0002-0000-0200-00004B000000}"/>
    <dataValidation allowBlank="1" showInputMessage="1" showErrorMessage="1" promptTitle="Acquisition/Refinance Costs" prompt="Project Budget for Acquisition/Refinance Closing Costs (excludes Match) " sqref="C10" xr:uid="{00000000-0002-0000-0200-00004C000000}"/>
    <dataValidation allowBlank="1" showInputMessage="1" showErrorMessage="1" promptTitle="Construction Hard Costs" prompt="For SFD Only:  HOME Budget for Off-Site Costs (excludes Match)" sqref="C14" xr:uid="{00000000-0002-0000-0200-00004D000000}"/>
    <dataValidation allowBlank="1" showInputMessage="1" showErrorMessage="1" promptTitle="Construction Hard Costs" prompt="HOME Budget for Alternate Item Costs (excludes Match)" sqref="C17" xr:uid="{00000000-0002-0000-0200-00004F000000}"/>
    <dataValidation allowBlank="1" showInputMessage="1" showErrorMessage="1" promptTitle="Construction Hard Costs" prompt="SFD Only:  HOME Budget for Building Contractor Fee (excludes Match)" sqref="C18" xr:uid="{00000000-0002-0000-0200-000050000000}"/>
    <dataValidation allowBlank="1" showInputMessage="1" showErrorMessage="1" promptTitle="Construction Hard Costs" prompt="HOME Budget for Interim Financing Costs (excludes Match)" sqref="C19" xr:uid="{00000000-0002-0000-0200-000051000000}"/>
    <dataValidation type="list" allowBlank="1" showInputMessage="1" showErrorMessage="1" prompt="Select Match or Leverage" sqref="G36 F45:F46 F22:F24 F9:F10 F14:F20 F35:F41" xr:uid="{00000000-0002-0000-0200-000058000000}">
      <formula1>$K$35:$K$38</formula1>
    </dataValidation>
    <dataValidation allowBlank="1" showInputMessage="1" showErrorMessage="1" prompt="Select Match or Leverage" sqref="G9:G10 G37:G41 G35 G22:G24 G14:G20" xr:uid="{00000000-0002-0000-0200-000059000000}"/>
    <dataValidation type="list" allowBlank="1" showInputMessage="1" showErrorMessage="1" prompt="Select applicable rule year from list" sqref="B3" xr:uid="{00000000-0002-0000-0200-00005A000000}">
      <formula1>"2020,2024,2025"</formula1>
    </dataValidation>
    <dataValidation type="list" allowBlank="1" showInputMessage="1" showErrorMessage="1" prompt="Select Activity Type" sqref="B4" xr:uid="{00000000-0002-0000-0200-00005B000000}">
      <formula1>"CFD,HANC,HRA,SFD"</formula1>
    </dataValidation>
    <dataValidation allowBlank="1" showInputMessage="1" showErrorMessage="1" prompt="Household Name" sqref="B2" xr:uid="{00000000-0002-0000-0200-00005C000000}"/>
    <dataValidation type="list" allowBlank="1" showInputMessage="1" showErrorMessage="1" prompt="Number of persons in household" sqref="B5" xr:uid="{00000000-0002-0000-0200-00005D000000}">
      <formula1>"1,2,3,4,5,6,7,8,9,10"</formula1>
    </dataValidation>
    <dataValidation type="whole" allowBlank="1" showInputMessage="1" showErrorMessage="1" prompt="Contract number" sqref="E2" xr:uid="{00000000-0002-0000-0200-00005E000000}">
      <formula1>1001100</formula1>
      <formula2>1007999</formula2>
    </dataValidation>
    <dataValidation allowBlank="1" showInputMessage="1" showErrorMessage="1" prompt="Unit square footage" sqref="E4" xr:uid="{00000000-0002-0000-0200-00005F000000}"/>
    <dataValidation type="list" operator="greaterThanOrEqual" allowBlank="1" showInputMessage="1" showErrorMessage="1" errorTitle="Pre-Rehabilitation Value" error="The value of the existing unit must be entered for projects subject to rule years 2012 and later." prompt="Select number of bedrooms in unit_x000a_" sqref="E5" xr:uid="{00000000-0002-0000-0200-000060000000}">
      <formula1>"1,2,3,4,5"</formula1>
    </dataValidation>
    <dataValidation type="list" allowBlank="1" showInputMessage="1" showErrorMessage="1" sqref="H2" xr:uid="{00000000-0002-0000-0200-000061000000}">
      <formula1>"0,.01,.02,.03,.04,.05,.06,.07,.08,.09,.10,.11,.12,.13,.14,.15"</formula1>
    </dataValidation>
    <dataValidation allowBlank="1" showInputMessage="1" showErrorMessage="1" prompt="Select activity type from list" sqref="G3" xr:uid="{00000000-0002-0000-0200-000062000000}"/>
    <dataValidation type="list" allowBlank="1" showInputMessage="1" showErrorMessage="1" prompt="Select construction type" sqref="E3:F3" xr:uid="{00000000-0002-0000-0200-000063000000}">
      <formula1>$M$2:$M$7</formula1>
    </dataValidation>
    <dataValidation allowBlank="1" showInputMessage="1" showErrorMessage="1" promptTitle="Notes Section" prompt="Enter any notes or further explaination of the submitted budget in this space." sqref="B83:I90 A84:A90" xr:uid="{00000000-0002-0000-0200-000064000000}"/>
    <dataValidation allowBlank="1" showInputMessage="1" showErrorMessage="1" promptTitle="Third Party Closing Costs" prompt="Total HOME and Match Home Owner Counseling Costs" sqref="B36" xr:uid="{00000000-0002-0000-0200-000065000000}"/>
    <dataValidation allowBlank="1" showInputMessage="1" showErrorMessage="1" promptTitle="Third Party Closing Costs" prompt="Total HOME Budget Home Owner Counseling Costs (Excludes Match)" sqref="C36" xr:uid="{00000000-0002-0000-0200-000066000000}"/>
    <dataValidation allowBlank="1" showInputMessage="1" showErrorMessage="1" promptTitle="Eligibility Criteria" prompt="Row 6: Acquistion Project Soft Costs within limits" sqref="A62" xr:uid="{00000000-0002-0000-0200-000067000000}"/>
    <dataValidation allowBlank="1" showInputMessage="1" showErrorMessage="1" promptTitle="Eligibility Criteria" prompt="Row 4: Additional Hard Costs within limits" sqref="A60" xr:uid="{00000000-0002-0000-0200-000068000000}"/>
    <dataValidation allowBlank="1" showInputMessage="1" showErrorMessage="1" promptTitle="Eligibility Criteria" prompt="Row 7: Required Match Budgeted" sqref="A63" xr:uid="{00000000-0002-0000-0200-000069000000}"/>
    <dataValidation allowBlank="1" showInputMessage="1" showErrorMessage="1" promptTitle="Eligibility Criteria" prompt="8. Developer Fee is within Limits" sqref="A64" xr:uid="{00000000-0002-0000-0200-00006A000000}"/>
    <dataValidation allowBlank="1" showInputMessage="1" showErrorMessage="1" promptTitle="Eligibility Criteria" prompt="9. Building Contractor Fee Within Limits" sqref="A65" xr:uid="{00000000-0002-0000-0200-00006B000000}"/>
    <dataValidation allowBlank="1" showInputMessage="1" showErrorMessage="1" prompt="Enter Alternate Selection 11" sqref="B77:D77" xr:uid="{00000000-0002-0000-0200-00006C000000}"/>
    <dataValidation allowBlank="1" showInputMessage="1" showErrorMessage="1" prompt="Enter Alternate Selection 12" sqref="B78:D78" xr:uid="{00000000-0002-0000-0200-00006D000000}"/>
    <dataValidation allowBlank="1" showInputMessage="1" showErrorMessage="1" prompt="Enter Alternate Selection 13" sqref="B79:D79" xr:uid="{00000000-0002-0000-0200-00006E000000}"/>
    <dataValidation allowBlank="1" showInputMessage="1" showErrorMessage="1" prompt="Enter Alternate Selection 14" sqref="B80:D80" xr:uid="{00000000-0002-0000-0200-00006F000000}"/>
    <dataValidation allowBlank="1" showInputMessage="1" showErrorMessage="1" prompt="Enter Alternate Selection 15" sqref="B81:D81" xr:uid="{00000000-0002-0000-0200-000070000000}"/>
    <dataValidation allowBlank="1" showInputMessage="1" showErrorMessage="1" promptTitle="Construction Hard Costs" prompt="Total HOME and Match Contingency Costs" sqref="B20" xr:uid="{00000000-0002-0000-0200-000071000000}"/>
    <dataValidation allowBlank="1" showInputMessage="1" showErrorMessage="1" promptTitle="Construction Hard Costs" prompt="Total HOME and Match Environmental Mitigation Costs" sqref="B22" xr:uid="{00000000-0002-0000-0200-000072000000}"/>
    <dataValidation allowBlank="1" showInputMessage="1" showErrorMessage="1" promptTitle="Construction Hard Costs" prompt="Total HOME and Match Accessibility Features Costs" sqref="B23" xr:uid="{00000000-0002-0000-0200-000074000000}"/>
    <dataValidation type="decimal" allowBlank="1" showInputMessage="1" showErrorMessage="1" errorTitle="Amount over allowable limit" error="The HOME Budget Accessibility Features Costs is greater than $15,000" promptTitle="Construction Hard Costs" prompt="HOME Budget for Accessibility Features Costs (excludes Match)" sqref="C23" xr:uid="{00000000-0002-0000-0200-000075000000}">
      <formula1>0</formula1>
      <formula2>15000</formula2>
    </dataValidation>
    <dataValidation allowBlank="1" showInputMessage="1" showErrorMessage="1" promptTitle="Construction Hard Costs" prompt="Total HOME and Match Aerobic Septic System Costs" sqref="B24" xr:uid="{00000000-0002-0000-0200-000076000000}"/>
    <dataValidation type="decimal" allowBlank="1" showInputMessage="1" showErrorMessage="1" errorTitle="Amount over allowable limit" error="The HOME Budget Aerobic Septic System Costs is greater than $15,000" promptTitle="Construction Hard Costs" prompt="HOME Budget for Aerobic Septic System Costs (excludes Match)" sqref="C24" xr:uid="{00000000-0002-0000-0200-000077000000}">
      <formula1>0</formula1>
      <formula2>15000</formula2>
    </dataValidation>
    <dataValidation allowBlank="1" showInputMessage="1" showErrorMessage="1" promptTitle="Notes Section" prompt="Enter any notes or further explanation of the submitted budget in this space." sqref="A83" xr:uid="{00000000-0002-0000-0200-000078000000}"/>
    <dataValidation allowBlank="1" showInputMessage="1" showErrorMessage="1" promptTitle="Construction Hard Costs" prompt="Total HOME Budget Base Construction Project Hard Costs (Excludes Match)" sqref="C16" xr:uid="{7EC36344-1663-4CAD-BD4C-1AC5CC3B96D4}"/>
    <dataValidation type="decimal" allowBlank="1" showInputMessage="1" showErrorMessage="1" errorTitle="Amount over allowable limit" error="The HOME Budget Environmental Mitigation Costs is greater than $15,000" promptTitle="Construction Hard Costs" prompt="HOME Budget for Environmental Mitigation Costs (Excludes Match)" sqref="C22" xr:uid="{B473E18C-C756-4775-A05E-053129612249}">
      <formula1>0</formula1>
      <formula2>15000</formula2>
    </dataValidation>
    <dataValidation allowBlank="1" showInputMessage="1" showErrorMessage="1" promptTitle="Third Party Closing Costs" prompt="HOME Budget Appraisal Costs (Excludes Match)" sqref="C35" xr:uid="{75321A2F-CE70-4EB0-970A-F5ACD1C4CAA0}"/>
    <dataValidation allowBlank="1" showInputMessage="1" showErrorMessage="1" promptTitle="Third Party Closing Costs" prompt="Total HOME Budget for Title Work Costs (Excludes Match)" sqref="C37" xr:uid="{C91EE60D-3BB0-49F0-887E-774D35A41412}"/>
    <dataValidation allowBlank="1" showInputMessage="1" showErrorMessage="1" promptTitle="Third Party Closing Costs" prompt="Total HOME and Match Tax Certificate Costs" sqref="B38" xr:uid="{53E48AA0-419B-4E26-89FC-99FB7513EAF7}"/>
    <dataValidation allowBlank="1" showInputMessage="1" showErrorMessage="1" promptTitle="Third Party Closing Costs" prompt="Total HOME Budget for Tax Certificate Costs (Excludes Match)" sqref="C38" xr:uid="{3D42D8F6-E1D3-47B6-8CB6-0D4348256D06}"/>
    <dataValidation allowBlank="1" showInputMessage="1" showErrorMessage="1" promptTitle="Third Party Closing Costs" prompt="Total HOME and Match Recording Fees Costs" sqref="B39" xr:uid="{9C772757-32F1-4CC2-A9BA-B019E0DEDB1F}"/>
    <dataValidation allowBlank="1" showInputMessage="1" showErrorMessage="1" promptTitle="Third Party Closing Costs" prompt="Total HOME Budget for Recording Fees Costs (Excludes Match)" sqref="C39" xr:uid="{1CA899B2-FDE3-4234-A0AA-8AB4211E161C}"/>
    <dataValidation allowBlank="1" showInputMessage="1" showErrorMessage="1" promptTitle="Third Party Closing Costs" prompt="Total HOME and Match Survey Costs" sqref="B40" xr:uid="{C61C2F28-DB90-46EB-95CC-1C87A87C340D}"/>
    <dataValidation allowBlank="1" showInputMessage="1" showErrorMessage="1" promptTitle="Third Party Closing Costs" prompt="Total HOME Budget for Survey Costs (Excludes Match)" sqref="C40" xr:uid="{1BA6FDD4-2974-481F-8439-D68C8B2B03BC}"/>
    <dataValidation allowBlank="1" showInputMessage="1" showErrorMessage="1" promptTitle="Third Party Closing Costs" prompt="Total HOME and Match Insurance/Other Closing Requirements Costs" sqref="B41" xr:uid="{D7EAD48A-BAF7-4430-8BF8-742CD6EA76CB}"/>
    <dataValidation allowBlank="1" showInputMessage="1" showErrorMessage="1" promptTitle="Third Party Closing Costs" prompt="Total HOME Budget for Insurance/Other Closing Requirements Costs (Excludes Match)" sqref="C41" xr:uid="{DDBEAA1D-983F-43A0-B9E9-478521080CD6}"/>
    <dataValidation allowBlank="1" showInputMessage="1" showErrorMessage="1" promptTitle="Other Project Soft Costs" prompt="Total HOME and Match Construction Project Soft Costs " sqref="B45" xr:uid="{67C68AA9-A4B2-45C2-84BF-C9049F4977AC}"/>
    <dataValidation allowBlank="1" showInputMessage="1" showErrorMessage="1" prompt="HOME Budget for Construction Project Soft Costs (excludes Match)" sqref="C45" xr:uid="{46424920-7884-49E5-A700-03FF05244698}"/>
  </dataValidations>
  <hyperlinks>
    <hyperlink ref="A1" location="Navigation_Links_FINAL" display="Use the tab key to complete the form.  Use the list of links or use the arrow keys to access locked cells." xr:uid="{00000000-0004-0000-0200-000000000000}"/>
    <hyperlink ref="J2" location="Beginning_of_Final_Budget_Form" display="Beginning of Fillable Form" xr:uid="{00000000-0004-0000-0200-000001000000}"/>
    <hyperlink ref="A93" location="'Table of Contents'!A1" display="Click to return to the Table of Contents" xr:uid="{00000000-0004-0000-0200-000002000000}"/>
    <hyperlink ref="J3" location="'Final Budget'!B10" display="Project Budget Column" xr:uid="{00000000-0004-0000-0200-000003000000}"/>
    <hyperlink ref="J4" location="'Final Budget'!C10" display="HOME Budget Column" xr:uid="{00000000-0004-0000-0200-000004000000}"/>
    <hyperlink ref="J5" location="'Final Budget'!D10" display="HOME Costs Incurred Column" xr:uid="{00000000-0004-0000-0200-000005000000}"/>
    <hyperlink ref="J6" location="'Final Budget'!E10" display="Match/Leverage Budget Column" xr:uid="{00000000-0004-0000-0200-000006000000}"/>
    <hyperlink ref="J7" location="'Final Budget'!H10" display="Match Provided Column" xr:uid="{00000000-0004-0000-0200-000007000000}"/>
    <hyperlink ref="J8" location="'Final Budget'!I10" display="Remaining in Budget Column" xr:uid="{00000000-0004-0000-0200-000008000000}"/>
    <hyperlink ref="J9" location="'Final Budget'!B12" display="Subtotal Acquistion/Refinance Costs Row" xr:uid="{00000000-0004-0000-0200-000009000000}"/>
    <hyperlink ref="J10" location="'Final Budget'!B22" display="Subtotal Construction Costs Row" xr:uid="{00000000-0004-0000-0200-00000A000000}"/>
    <hyperlink ref="J11" location="'Final Budget'!B24" display="Cost per square foot" xr:uid="{00000000-0004-0000-0200-00000B000000}"/>
    <hyperlink ref="J12" location="'Final Budget'!B25" display="Total Construction Costs Row" xr:uid="{00000000-0004-0000-0200-00000C000000}"/>
    <hyperlink ref="J13" location="'Final Budget'!B34" display="Subtotal Third Party Costs Row" xr:uid="{00000000-0004-0000-0200-00000D000000}"/>
    <hyperlink ref="J14" location="'Final Budget'!B41" display="Subtotal Project Soft Costs Row" xr:uid="{00000000-0004-0000-0200-00000E000000}"/>
    <hyperlink ref="J15" location="'Final Budget'!B43" display="Total Project Budget" xr:uid="{00000000-0004-0000-0200-00000F000000}"/>
    <hyperlink ref="J16" location="'Final Budget'!C43" display="Total HOME Budget" xr:uid="{00000000-0004-0000-0200-000010000000}"/>
    <hyperlink ref="J18" location="'Final Budget'!D44" display="Total HOME Funds Drawn to Date" xr:uid="{00000000-0004-0000-0200-000011000000}"/>
    <hyperlink ref="J19" location="'Final Budget'!E45" display="Total Match Budgeted" xr:uid="{00000000-0004-0000-0200-000012000000}"/>
    <hyperlink ref="J20" location="'Final Budget'!H46" display="Total Match Provided " xr:uid="{00000000-0004-0000-0200-000013000000}"/>
    <hyperlink ref="J21" location="'Final Budget'!I43" display="Total Remaining in Budget" xr:uid="{00000000-0004-0000-0200-000014000000}"/>
    <hyperlink ref="J22" location="'Final Budget'!A48" display="Eligibility Tests Section" xr:uid="{00000000-0004-0000-0200-000015000000}"/>
    <hyperlink ref="J26" location="'Final Budget'!B57" display="Alternate Items Selected Section" xr:uid="{00000000-0004-0000-0200-000016000000}"/>
  </hyperlinks>
  <pageMargins left="0.25" right="0.25" top="0.25" bottom="0.25" header="0" footer="0"/>
  <pageSetup scale="79" orientation="landscape" r:id="rId1"/>
  <rowBreaks count="1" manualBreakCount="1">
    <brk id="4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view="pageLayout" zoomScaleNormal="100" workbookViewId="0">
      <selection activeCell="E12" sqref="E12"/>
    </sheetView>
  </sheetViews>
  <sheetFormatPr defaultRowHeight="14.5" x14ac:dyDescent="0.35"/>
  <cols>
    <col min="1" max="1" width="35.1796875" customWidth="1"/>
    <col min="2" max="2" width="13.1796875" customWidth="1"/>
    <col min="3" max="3" width="12.81640625" customWidth="1"/>
    <col min="4" max="4" width="10.81640625" customWidth="1"/>
    <col min="5" max="6" width="11.54296875" customWidth="1"/>
    <col min="7" max="7" width="12.453125" customWidth="1"/>
    <col min="8" max="9" width="11.453125" customWidth="1"/>
    <col min="10" max="10" width="15.453125" customWidth="1"/>
  </cols>
  <sheetData>
    <row r="1" spans="1:5" ht="22.5" customHeight="1" x14ac:dyDescent="0.35">
      <c r="A1" t="s">
        <v>153</v>
      </c>
      <c r="B1" t="s">
        <v>397</v>
      </c>
      <c r="C1" t="s">
        <v>441</v>
      </c>
      <c r="D1" t="s">
        <v>427</v>
      </c>
      <c r="E1" t="s">
        <v>428</v>
      </c>
    </row>
    <row r="2" spans="1:5" ht="22.5" customHeight="1" x14ac:dyDescent="0.35">
      <c r="A2" t="s">
        <v>424</v>
      </c>
      <c r="B2">
        <v>90000</v>
      </c>
      <c r="C2">
        <v>90000</v>
      </c>
      <c r="D2" s="442" t="s">
        <v>158</v>
      </c>
      <c r="E2" s="442">
        <v>3500</v>
      </c>
    </row>
    <row r="3" spans="1:5" ht="22.5" customHeight="1" x14ac:dyDescent="0.35">
      <c r="A3" t="s">
        <v>425</v>
      </c>
      <c r="B3">
        <v>135000</v>
      </c>
      <c r="C3">
        <v>150000</v>
      </c>
      <c r="D3" s="12">
        <v>120</v>
      </c>
      <c r="E3" s="12">
        <v>12000</v>
      </c>
    </row>
    <row r="4" spans="1:5" ht="22.5" customHeight="1" x14ac:dyDescent="0.35">
      <c r="A4" t="s">
        <v>426</v>
      </c>
      <c r="B4">
        <v>135000</v>
      </c>
      <c r="C4">
        <v>150000</v>
      </c>
      <c r="D4" s="12">
        <v>120</v>
      </c>
      <c r="E4" s="12">
        <v>12000</v>
      </c>
    </row>
    <row r="5" spans="1:5" ht="22.5" customHeight="1" x14ac:dyDescent="0.35">
      <c r="A5" t="s">
        <v>432</v>
      </c>
      <c r="B5">
        <v>90000</v>
      </c>
      <c r="C5">
        <v>90000</v>
      </c>
      <c r="D5" s="442" t="s">
        <v>158</v>
      </c>
      <c r="E5" s="442">
        <v>3500</v>
      </c>
    </row>
    <row r="6" spans="1:5" ht="22.5" customHeight="1" x14ac:dyDescent="0.35">
      <c r="A6" t="s">
        <v>433</v>
      </c>
      <c r="B6">
        <v>135000</v>
      </c>
      <c r="C6">
        <v>150000</v>
      </c>
      <c r="D6" s="12">
        <v>120</v>
      </c>
      <c r="E6" s="12">
        <v>12000</v>
      </c>
    </row>
    <row r="7" spans="1:5" x14ac:dyDescent="0.35">
      <c r="A7" t="s">
        <v>434</v>
      </c>
      <c r="B7">
        <v>135000</v>
      </c>
      <c r="C7">
        <v>150000</v>
      </c>
      <c r="D7" s="12">
        <v>120</v>
      </c>
      <c r="E7" s="12">
        <v>12000</v>
      </c>
    </row>
    <row r="8" spans="1:5" x14ac:dyDescent="0.35">
      <c r="A8" t="s">
        <v>476</v>
      </c>
      <c r="B8">
        <v>125000</v>
      </c>
      <c r="C8">
        <v>125000</v>
      </c>
      <c r="D8" s="442" t="s">
        <v>158</v>
      </c>
      <c r="E8" s="442">
        <v>10000</v>
      </c>
    </row>
    <row r="9" spans="1:5" x14ac:dyDescent="0.35">
      <c r="A9" t="s">
        <v>477</v>
      </c>
      <c r="B9">
        <v>175000</v>
      </c>
      <c r="C9">
        <v>200000</v>
      </c>
      <c r="D9" s="12">
        <v>150</v>
      </c>
      <c r="E9" s="12">
        <v>15000</v>
      </c>
    </row>
    <row r="10" spans="1:5" x14ac:dyDescent="0.35">
      <c r="A10" t="s">
        <v>475</v>
      </c>
      <c r="B10">
        <v>175000</v>
      </c>
      <c r="C10">
        <v>200000</v>
      </c>
      <c r="D10" s="12">
        <v>150</v>
      </c>
      <c r="E10" s="12">
        <v>15000</v>
      </c>
    </row>
    <row r="11" spans="1:5" x14ac:dyDescent="0.35">
      <c r="A11" s="36"/>
      <c r="B11" s="391"/>
      <c r="C11" s="391"/>
    </row>
    <row r="12" spans="1:5" x14ac:dyDescent="0.35">
      <c r="A12" s="36"/>
      <c r="B12" s="391"/>
      <c r="C12" s="391"/>
    </row>
    <row r="13" spans="1:5" x14ac:dyDescent="0.35">
      <c r="A13" s="1"/>
      <c r="B13" s="391"/>
      <c r="C13" s="391"/>
    </row>
    <row r="14" spans="1:5" x14ac:dyDescent="0.35">
      <c r="A14" s="1"/>
      <c r="B14" s="391"/>
      <c r="C14" s="391"/>
    </row>
    <row r="15" spans="1:5" x14ac:dyDescent="0.35">
      <c r="A15" s="1"/>
      <c r="B15" s="391"/>
      <c r="C15" s="391"/>
    </row>
    <row r="16" spans="1:5" x14ac:dyDescent="0.35">
      <c r="A16" s="101"/>
      <c r="B16" s="391"/>
      <c r="C16" s="391"/>
    </row>
    <row r="17" spans="1:3" x14ac:dyDescent="0.35">
      <c r="A17" s="101"/>
      <c r="B17" s="391"/>
      <c r="C17" s="391"/>
    </row>
    <row r="18" spans="1:3" x14ac:dyDescent="0.35">
      <c r="A18" s="29"/>
      <c r="B18" s="391"/>
      <c r="C18" s="391"/>
    </row>
    <row r="19" spans="1:3" x14ac:dyDescent="0.35">
      <c r="A19" s="102"/>
      <c r="B19" s="391"/>
      <c r="C19" s="391"/>
    </row>
    <row r="20" spans="1:3" x14ac:dyDescent="0.35">
      <c r="A20" s="36"/>
      <c r="B20" s="391"/>
      <c r="C20" s="391"/>
    </row>
    <row r="21" spans="1:3" x14ac:dyDescent="0.35">
      <c r="A21" s="36"/>
      <c r="B21" s="391"/>
      <c r="C21" s="391"/>
    </row>
    <row r="22" spans="1:3" x14ac:dyDescent="0.35">
      <c r="A22" s="36"/>
      <c r="B22" s="391"/>
      <c r="C22" s="391"/>
    </row>
    <row r="23" spans="1:3" x14ac:dyDescent="0.35">
      <c r="A23" s="1"/>
      <c r="B23" s="391"/>
      <c r="C23" s="391"/>
    </row>
    <row r="24" spans="1:3" x14ac:dyDescent="0.35">
      <c r="A24" s="1"/>
      <c r="B24" s="391"/>
      <c r="C24" s="391"/>
    </row>
    <row r="25" spans="1:3" x14ac:dyDescent="0.35">
      <c r="A25" s="1"/>
      <c r="B25" s="391"/>
      <c r="C25" s="391"/>
    </row>
    <row r="26" spans="1:3" x14ac:dyDescent="0.35">
      <c r="A26" s="101"/>
      <c r="B26" s="391"/>
      <c r="C26" s="391"/>
    </row>
    <row r="27" spans="1:3" x14ac:dyDescent="0.35">
      <c r="A27" s="101"/>
      <c r="B27" s="391"/>
      <c r="C27" s="391"/>
    </row>
    <row r="28" spans="1:3" x14ac:dyDescent="0.35">
      <c r="A28" s="29"/>
      <c r="B28" s="391"/>
      <c r="C28" s="391"/>
    </row>
    <row r="29" spans="1:3" x14ac:dyDescent="0.35">
      <c r="A29" s="102"/>
      <c r="B29" s="391"/>
      <c r="C29" s="391"/>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FC38"/>
  <sheetViews>
    <sheetView view="pageLayout" topLeftCell="A28" zoomScaleNormal="100" workbookViewId="0">
      <selection activeCell="A2" sqref="A2:B2"/>
    </sheetView>
  </sheetViews>
  <sheetFormatPr defaultColWidth="0" defaultRowHeight="13" zeroHeight="1" x14ac:dyDescent="0.3"/>
  <cols>
    <col min="1" max="1" width="4.54296875" style="71" customWidth="1"/>
    <col min="2" max="2" width="108" style="71" customWidth="1"/>
    <col min="3" max="16383" width="0" style="71" hidden="1"/>
    <col min="16384" max="16384" width="5.6328125" style="71" hidden="1" customWidth="1"/>
  </cols>
  <sheetData>
    <row r="1" spans="1:2" ht="19" thickBot="1" x14ac:dyDescent="0.5">
      <c r="A1" s="500" t="s">
        <v>371</v>
      </c>
      <c r="B1" s="501"/>
    </row>
    <row r="2" spans="1:2" ht="64.5" customHeight="1" thickBot="1" x14ac:dyDescent="0.35">
      <c r="A2" s="502" t="s">
        <v>431</v>
      </c>
      <c r="B2" s="502"/>
    </row>
    <row r="3" spans="1:2" ht="13.5" thickTop="1" x14ac:dyDescent="0.3">
      <c r="A3" s="98" t="s">
        <v>105</v>
      </c>
      <c r="B3" s="100"/>
    </row>
    <row r="4" spans="1:2" ht="14.5" customHeight="1" x14ac:dyDescent="0.3">
      <c r="A4" s="72"/>
      <c r="B4" s="165" t="s">
        <v>260</v>
      </c>
    </row>
    <row r="5" spans="1:2" ht="14.5" customHeight="1" x14ac:dyDescent="0.3">
      <c r="A5" s="72"/>
      <c r="B5" s="165" t="s">
        <v>364</v>
      </c>
    </row>
    <row r="6" spans="1:2" ht="14.5" customHeight="1" x14ac:dyDescent="0.3">
      <c r="A6" s="72"/>
      <c r="B6" s="165" t="s">
        <v>365</v>
      </c>
    </row>
    <row r="7" spans="1:2" ht="14.5" customHeight="1" x14ac:dyDescent="0.3">
      <c r="A7" s="72"/>
      <c r="B7" s="165" t="s">
        <v>366</v>
      </c>
    </row>
    <row r="8" spans="1:2" ht="14.5" customHeight="1" x14ac:dyDescent="0.3">
      <c r="A8" s="72"/>
      <c r="B8" s="165" t="s">
        <v>367</v>
      </c>
    </row>
    <row r="9" spans="1:2" ht="45.75" customHeight="1" x14ac:dyDescent="0.3">
      <c r="A9" s="72"/>
      <c r="B9" s="165" t="s">
        <v>382</v>
      </c>
    </row>
    <row r="10" spans="1:2" ht="15" customHeight="1" x14ac:dyDescent="0.3">
      <c r="A10" s="72"/>
      <c r="B10" s="165" t="s">
        <v>256</v>
      </c>
    </row>
    <row r="11" spans="1:2" ht="15" customHeight="1" x14ac:dyDescent="0.3">
      <c r="A11" s="72"/>
      <c r="B11" s="165" t="s">
        <v>127</v>
      </c>
    </row>
    <row r="12" spans="1:2" ht="15" customHeight="1" x14ac:dyDescent="0.3">
      <c r="A12" s="72"/>
      <c r="B12" s="165" t="s">
        <v>79</v>
      </c>
    </row>
    <row r="13" spans="1:2" ht="13.5" thickBot="1" x14ac:dyDescent="0.35">
      <c r="A13" s="97"/>
      <c r="B13" s="166" t="s">
        <v>253</v>
      </c>
    </row>
    <row r="14" spans="1:2" ht="13.5" customHeight="1" thickTop="1" x14ac:dyDescent="0.3">
      <c r="A14" s="98" t="s">
        <v>106</v>
      </c>
      <c r="B14" s="99"/>
    </row>
    <row r="15" spans="1:2" ht="14.5" customHeight="1" x14ac:dyDescent="0.3">
      <c r="A15" s="72"/>
      <c r="B15" s="165" t="s">
        <v>260</v>
      </c>
    </row>
    <row r="16" spans="1:2" ht="14.5" customHeight="1" x14ac:dyDescent="0.3">
      <c r="A16" s="72"/>
      <c r="B16" s="165" t="s">
        <v>254</v>
      </c>
    </row>
    <row r="17" spans="1:2" ht="14.5" customHeight="1" x14ac:dyDescent="0.3">
      <c r="A17" s="72"/>
      <c r="B17" s="165" t="s">
        <v>255</v>
      </c>
    </row>
    <row r="18" spans="1:2" ht="14.5" customHeight="1" x14ac:dyDescent="0.3">
      <c r="A18" s="72"/>
      <c r="B18" s="165" t="s">
        <v>364</v>
      </c>
    </row>
    <row r="19" spans="1:2" ht="14.5" customHeight="1" x14ac:dyDescent="0.3">
      <c r="A19" s="72"/>
      <c r="B19" s="165" t="s">
        <v>365</v>
      </c>
    </row>
    <row r="20" spans="1:2" ht="14.5" customHeight="1" x14ac:dyDescent="0.3">
      <c r="A20" s="72"/>
      <c r="B20" s="165" t="s">
        <v>368</v>
      </c>
    </row>
    <row r="21" spans="1:2" ht="14.5" customHeight="1" x14ac:dyDescent="0.3">
      <c r="A21" s="72"/>
      <c r="B21" s="165" t="s">
        <v>367</v>
      </c>
    </row>
    <row r="22" spans="1:2" ht="39" customHeight="1" x14ac:dyDescent="0.3">
      <c r="A22" s="72"/>
      <c r="B22" s="460" t="s">
        <v>409</v>
      </c>
    </row>
    <row r="23" spans="1:2" x14ac:dyDescent="0.3">
      <c r="A23" s="72"/>
      <c r="B23" s="460" t="s">
        <v>369</v>
      </c>
    </row>
    <row r="24" spans="1:2" ht="14.5" customHeight="1" x14ac:dyDescent="0.3">
      <c r="A24" s="72"/>
      <c r="B24" s="165" t="s">
        <v>257</v>
      </c>
    </row>
    <row r="25" spans="1:2" ht="14.5" customHeight="1" x14ac:dyDescent="0.3">
      <c r="A25" s="72"/>
      <c r="B25" s="165" t="s">
        <v>128</v>
      </c>
    </row>
    <row r="26" spans="1:2" ht="14.5" customHeight="1" x14ac:dyDescent="0.3">
      <c r="A26" s="72"/>
      <c r="B26" s="165" t="s">
        <v>258</v>
      </c>
    </row>
    <row r="27" spans="1:2" x14ac:dyDescent="0.3">
      <c r="A27" s="72"/>
      <c r="B27" s="165" t="s">
        <v>259</v>
      </c>
    </row>
    <row r="28" spans="1:2" ht="28.5" customHeight="1" x14ac:dyDescent="0.3">
      <c r="A28" s="72"/>
      <c r="B28" s="165" t="s">
        <v>410</v>
      </c>
    </row>
    <row r="29" spans="1:2" x14ac:dyDescent="0.3">
      <c r="A29" s="72"/>
      <c r="B29" s="165" t="s">
        <v>133</v>
      </c>
    </row>
    <row r="30" spans="1:2" x14ac:dyDescent="0.3">
      <c r="A30" s="72"/>
      <c r="B30" s="165" t="s">
        <v>471</v>
      </c>
    </row>
    <row r="31" spans="1:2" ht="37.5" x14ac:dyDescent="0.3">
      <c r="A31" s="73"/>
      <c r="B31" s="167" t="s">
        <v>408</v>
      </c>
    </row>
    <row r="32" spans="1:2" x14ac:dyDescent="0.3">
      <c r="A32" s="72"/>
      <c r="B32" s="165" t="s">
        <v>370</v>
      </c>
    </row>
    <row r="33" spans="1:1" ht="14.5" customHeight="1" x14ac:dyDescent="0.35">
      <c r="A33" s="81" t="s">
        <v>121</v>
      </c>
    </row>
    <row r="34" spans="1:1" x14ac:dyDescent="0.3"/>
    <row r="35" spans="1:1" x14ac:dyDescent="0.3"/>
    <row r="36" spans="1:1" x14ac:dyDescent="0.3"/>
    <row r="37" spans="1:1" x14ac:dyDescent="0.3"/>
    <row r="38" spans="1:1" x14ac:dyDescent="0.3"/>
  </sheetData>
  <mergeCells count="2">
    <mergeCell ref="A1:B1"/>
    <mergeCell ref="A2:B2"/>
  </mergeCells>
  <hyperlinks>
    <hyperlink ref="A33" location="'Table of Contents'!A1" display="Click to return to the Table of Contents" xr:uid="{00000000-0004-0000-0400-000000000000}"/>
  </hyperlinks>
  <pageMargins left="0.25" right="0.25" top="0.25" bottom="0.25" header="0" footer="0"/>
  <pageSetup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4"/>
  <sheetViews>
    <sheetView showGridLines="0" showRuler="0" view="pageLayout" zoomScaleNormal="100" workbookViewId="0">
      <selection sqref="A1:B1"/>
    </sheetView>
  </sheetViews>
  <sheetFormatPr defaultColWidth="0" defaultRowHeight="14.5" zeroHeight="1" x14ac:dyDescent="0.35"/>
  <cols>
    <col min="1" max="1" width="36.81640625" style="40" customWidth="1"/>
    <col min="2" max="2" width="64.453125" style="40" customWidth="1"/>
    <col min="3" max="16384" width="0" style="40" hidden="1"/>
  </cols>
  <sheetData>
    <row r="1" spans="1:2" ht="26.25" customHeight="1" thickBot="1" x14ac:dyDescent="0.4">
      <c r="A1" s="503" t="s">
        <v>143</v>
      </c>
      <c r="B1" s="504"/>
    </row>
    <row r="2" spans="1:2" ht="111.5" customHeight="1" thickBot="1" x14ac:dyDescent="0.4">
      <c r="A2" s="505" t="s">
        <v>317</v>
      </c>
      <c r="B2" s="506"/>
    </row>
    <row r="3" spans="1:2" ht="15" thickTop="1" x14ac:dyDescent="0.35">
      <c r="A3" s="41" t="s">
        <v>145</v>
      </c>
      <c r="B3" s="41"/>
    </row>
    <row r="4" spans="1:2" x14ac:dyDescent="0.35">
      <c r="A4" s="42" t="s">
        <v>287</v>
      </c>
      <c r="B4" s="43" t="s">
        <v>307</v>
      </c>
    </row>
    <row r="5" spans="1:2" ht="20.5" customHeight="1" x14ac:dyDescent="0.35">
      <c r="A5" s="42" t="s">
        <v>289</v>
      </c>
      <c r="B5" s="43" t="s">
        <v>308</v>
      </c>
    </row>
    <row r="6" spans="1:2" ht="26" x14ac:dyDescent="0.35">
      <c r="A6" s="42" t="s">
        <v>288</v>
      </c>
      <c r="B6" s="43" t="s">
        <v>309</v>
      </c>
    </row>
    <row r="7" spans="1:2" x14ac:dyDescent="0.35">
      <c r="A7" s="42" t="s">
        <v>290</v>
      </c>
      <c r="B7" s="43" t="s">
        <v>310</v>
      </c>
    </row>
    <row r="8" spans="1:2" x14ac:dyDescent="0.35">
      <c r="A8" s="45" t="s">
        <v>305</v>
      </c>
      <c r="B8" s="43" t="s">
        <v>306</v>
      </c>
    </row>
    <row r="9" spans="1:2" ht="39" x14ac:dyDescent="0.35">
      <c r="A9" s="45" t="s">
        <v>291</v>
      </c>
      <c r="B9" s="43" t="s">
        <v>311</v>
      </c>
    </row>
    <row r="10" spans="1:2" ht="26" x14ac:dyDescent="0.35">
      <c r="A10" s="45" t="s">
        <v>292</v>
      </c>
      <c r="B10" s="43" t="s">
        <v>312</v>
      </c>
    </row>
    <row r="11" spans="1:2" ht="41" customHeight="1" x14ac:dyDescent="0.35">
      <c r="A11" s="45" t="s">
        <v>293</v>
      </c>
      <c r="B11" s="43" t="s">
        <v>313</v>
      </c>
    </row>
    <row r="12" spans="1:2" x14ac:dyDescent="0.35">
      <c r="A12" s="41" t="s">
        <v>98</v>
      </c>
      <c r="B12" s="44"/>
    </row>
    <row r="13" spans="1:2" ht="39" x14ac:dyDescent="0.35">
      <c r="A13" s="46" t="s">
        <v>294</v>
      </c>
      <c r="B13" s="43" t="s">
        <v>452</v>
      </c>
    </row>
    <row r="14" spans="1:2" x14ac:dyDescent="0.35">
      <c r="A14" s="46" t="s">
        <v>295</v>
      </c>
      <c r="B14" s="43" t="s">
        <v>314</v>
      </c>
    </row>
    <row r="15" spans="1:2" ht="18" customHeight="1" x14ac:dyDescent="0.35">
      <c r="A15" s="46" t="s">
        <v>296</v>
      </c>
      <c r="B15" s="43" t="s">
        <v>315</v>
      </c>
    </row>
    <row r="16" spans="1:2" ht="26" x14ac:dyDescent="0.35">
      <c r="A16" s="46" t="s">
        <v>297</v>
      </c>
      <c r="B16" s="43" t="s">
        <v>316</v>
      </c>
    </row>
    <row r="17" spans="1:2" x14ac:dyDescent="0.35">
      <c r="A17" s="46" t="s">
        <v>298</v>
      </c>
      <c r="B17" s="43" t="s">
        <v>310</v>
      </c>
    </row>
    <row r="18" spans="1:2" x14ac:dyDescent="0.35">
      <c r="A18" s="46" t="s">
        <v>299</v>
      </c>
      <c r="B18" s="43" t="s">
        <v>306</v>
      </c>
    </row>
    <row r="19" spans="1:2" ht="39" x14ac:dyDescent="0.35">
      <c r="A19" s="46" t="s">
        <v>300</v>
      </c>
      <c r="B19" s="43" t="s">
        <v>311</v>
      </c>
    </row>
    <row r="20" spans="1:2" ht="26" x14ac:dyDescent="0.35">
      <c r="A20" s="45" t="s">
        <v>301</v>
      </c>
      <c r="B20" s="43" t="s">
        <v>312</v>
      </c>
    </row>
    <row r="21" spans="1:2" ht="26" x14ac:dyDescent="0.35">
      <c r="A21" s="45" t="s">
        <v>302</v>
      </c>
      <c r="B21" s="43" t="s">
        <v>129</v>
      </c>
    </row>
    <row r="22" spans="1:2" ht="40.25" customHeight="1" x14ac:dyDescent="0.35">
      <c r="A22" s="45" t="s">
        <v>303</v>
      </c>
      <c r="B22" s="43" t="s">
        <v>130</v>
      </c>
    </row>
    <row r="23" spans="1:2" ht="27" customHeight="1" x14ac:dyDescent="0.35">
      <c r="A23" s="45" t="s">
        <v>304</v>
      </c>
      <c r="B23" s="43" t="s">
        <v>99</v>
      </c>
    </row>
    <row r="24" spans="1:2" x14ac:dyDescent="0.35">
      <c r="A24" s="81" t="s">
        <v>121</v>
      </c>
    </row>
    <row r="25" spans="1:2" x14ac:dyDescent="0.35"/>
    <row r="26" spans="1:2" x14ac:dyDescent="0.35"/>
    <row r="27" spans="1:2" x14ac:dyDescent="0.35"/>
    <row r="28" spans="1:2" x14ac:dyDescent="0.35"/>
    <row r="29" spans="1:2" x14ac:dyDescent="0.35"/>
    <row r="30" spans="1:2" x14ac:dyDescent="0.35"/>
    <row r="31" spans="1:2" x14ac:dyDescent="0.35"/>
    <row r="43" ht="76.5" hidden="1" customHeight="1" x14ac:dyDescent="0.35"/>
    <row r="44" ht="55.5" hidden="1" customHeight="1" x14ac:dyDescent="0.35"/>
  </sheetData>
  <mergeCells count="2">
    <mergeCell ref="A1:B1"/>
    <mergeCell ref="A2:B2"/>
  </mergeCells>
  <hyperlinks>
    <hyperlink ref="A24" location="'Table of Contents'!A1" display="Click to return to the Table of Contents" xr:uid="{00000000-0004-0000-0500-000000000000}"/>
  </hyperlinks>
  <pageMargins left="0.25" right="0.25" top="0.25" bottom="0.25" header="0" footer="0"/>
  <pageSetup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5" tint="-0.249977111117893"/>
  </sheetPr>
  <dimension ref="A1:X126"/>
  <sheetViews>
    <sheetView showRuler="0" showWhiteSpace="0" view="pageLayout" zoomScale="80" zoomScaleNormal="100" zoomScalePageLayoutView="80" workbookViewId="0">
      <selection activeCell="B4" sqref="B4"/>
    </sheetView>
  </sheetViews>
  <sheetFormatPr defaultColWidth="0" defaultRowHeight="14.5" zeroHeight="1" x14ac:dyDescent="0.35"/>
  <cols>
    <col min="1" max="2" width="10" style="91" customWidth="1"/>
    <col min="3" max="3" width="29.54296875" customWidth="1"/>
    <col min="4" max="4" width="17.1796875" style="91" customWidth="1"/>
    <col min="5" max="5" width="24.81640625" customWidth="1"/>
    <col min="6" max="7" width="10" style="91" customWidth="1"/>
    <col min="8" max="8" width="10.81640625" bestFit="1" customWidth="1"/>
    <col min="9" max="9" width="13.1796875" customWidth="1"/>
    <col min="10" max="11" width="11.81640625" customWidth="1"/>
    <col min="12" max="14" width="5.81640625" customWidth="1"/>
    <col min="15" max="15" width="9.1796875" customWidth="1"/>
    <col min="16" max="22" width="35.1796875" hidden="1" customWidth="1"/>
    <col min="23" max="23" width="8.81640625" style="174" hidden="1" customWidth="1"/>
    <col min="24" max="24" width="8.81640625" hidden="1" customWidth="1"/>
    <col min="25" max="16384" width="9.1796875" hidden="1"/>
  </cols>
  <sheetData>
    <row r="1" spans="1:23" ht="16" thickBot="1" x14ac:dyDescent="0.4">
      <c r="A1" s="144" t="s">
        <v>53</v>
      </c>
      <c r="B1" s="179" t="str">
        <f>CONCATENATE("HOME CONSTRUCTION PROJECT DRAW REQUEST FORM CONTRACT #",'Final Budget'!E2)</f>
        <v>HOME CONSTRUCTION PROJECT DRAW REQUEST FORM CONTRACT #</v>
      </c>
      <c r="C1" s="15"/>
      <c r="D1" s="15"/>
      <c r="E1" s="15"/>
      <c r="F1" s="15"/>
      <c r="G1" s="15"/>
      <c r="H1" s="15"/>
      <c r="I1" s="15"/>
      <c r="J1" s="15"/>
      <c r="K1" s="15"/>
      <c r="L1" s="15"/>
      <c r="M1" s="15"/>
      <c r="N1" s="15"/>
      <c r="P1" s="6" t="s">
        <v>16</v>
      </c>
      <c r="Q1" s="7" t="s">
        <v>19</v>
      </c>
      <c r="R1" s="462" t="s">
        <v>467</v>
      </c>
      <c r="S1" s="463" t="s">
        <v>468</v>
      </c>
      <c r="T1" s="462" t="s">
        <v>469</v>
      </c>
      <c r="U1" t="s">
        <v>411</v>
      </c>
      <c r="V1">
        <f>TOTAL_HOME_BUDGET</f>
        <v>0</v>
      </c>
      <c r="W1" s="174" t="s">
        <v>75</v>
      </c>
    </row>
    <row r="2" spans="1:23" ht="15.5" x14ac:dyDescent="0.35">
      <c r="A2" s="507" t="s">
        <v>14</v>
      </c>
      <c r="B2" s="508"/>
      <c r="C2" s="508"/>
      <c r="D2" s="92"/>
      <c r="E2" s="16"/>
      <c r="F2" s="92"/>
      <c r="G2" s="92"/>
      <c r="H2" s="16"/>
      <c r="I2" s="16"/>
      <c r="J2" s="16"/>
      <c r="K2" s="39"/>
      <c r="L2" s="20" t="s">
        <v>15</v>
      </c>
      <c r="M2" s="20"/>
      <c r="N2" s="20"/>
      <c r="O2" s="21"/>
      <c r="P2" s="28"/>
      <c r="Q2" s="408"/>
      <c r="R2" s="2" t="s">
        <v>13</v>
      </c>
      <c r="S2" s="8" t="s">
        <v>22</v>
      </c>
      <c r="T2" s="164" t="s">
        <v>49</v>
      </c>
      <c r="U2" s="94"/>
      <c r="V2" s="94"/>
      <c r="W2" s="172" t="s">
        <v>74</v>
      </c>
    </row>
    <row r="3" spans="1:23" ht="56.5" customHeight="1" x14ac:dyDescent="0.35">
      <c r="A3" s="224"/>
      <c r="B3" s="159" t="s">
        <v>344</v>
      </c>
      <c r="C3" s="459" t="s">
        <v>345</v>
      </c>
      <c r="D3" s="160" t="s">
        <v>346</v>
      </c>
      <c r="E3" s="160" t="s">
        <v>347</v>
      </c>
      <c r="F3" s="160" t="s">
        <v>348</v>
      </c>
      <c r="G3" s="160" t="s">
        <v>349</v>
      </c>
      <c r="H3" s="160" t="s">
        <v>350</v>
      </c>
      <c r="I3" s="161" t="s">
        <v>402</v>
      </c>
      <c r="J3" s="231"/>
      <c r="K3" s="232"/>
      <c r="L3" s="111" t="s">
        <v>377</v>
      </c>
      <c r="M3" s="22" t="s">
        <v>380</v>
      </c>
      <c r="N3" s="22" t="s">
        <v>378</v>
      </c>
      <c r="O3" s="23" t="s">
        <v>379</v>
      </c>
      <c r="P3" s="28" t="s">
        <v>406</v>
      </c>
      <c r="Q3" s="408"/>
      <c r="R3" s="412" t="s">
        <v>450</v>
      </c>
      <c r="S3" s="8">
        <v>0.9</v>
      </c>
      <c r="T3" s="91">
        <v>1</v>
      </c>
      <c r="U3" s="94"/>
      <c r="V3" s="94"/>
      <c r="W3" s="172" t="s">
        <v>76</v>
      </c>
    </row>
    <row r="4" spans="1:23" s="3" customFormat="1" ht="12" customHeight="1" x14ac:dyDescent="0.35">
      <c r="A4" s="225"/>
      <c r="B4" s="457"/>
      <c r="C4" s="472"/>
      <c r="D4" s="458"/>
      <c r="E4" s="192"/>
      <c r="F4" s="191"/>
      <c r="G4" s="193"/>
      <c r="H4" s="466" t="str">
        <f>IF(C4&gt;0,SUMIF('Final Budget'!A$9:A$46,C4,'Final Budget'!E$9:E$46)-SUMIF('Draw Request'!C$3:C3,C4,I$3:I3),"")</f>
        <v/>
      </c>
      <c r="I4" s="381">
        <v>0</v>
      </c>
      <c r="J4" s="233"/>
      <c r="K4" s="234"/>
      <c r="L4" s="214"/>
      <c r="M4" s="203"/>
      <c r="N4" s="203"/>
      <c r="O4" s="204"/>
      <c r="P4" s="28" t="s">
        <v>17</v>
      </c>
      <c r="Q4" s="409" t="s">
        <v>20</v>
      </c>
      <c r="R4" s="410" t="s">
        <v>71</v>
      </c>
      <c r="S4" s="4">
        <v>1</v>
      </c>
      <c r="T4" s="91">
        <v>2</v>
      </c>
      <c r="U4" s="94"/>
      <c r="V4" s="94"/>
      <c r="W4" s="172" t="s">
        <v>77</v>
      </c>
    </row>
    <row r="5" spans="1:23" s="3" customFormat="1" ht="12" customHeight="1" x14ac:dyDescent="0.35">
      <c r="A5" s="225"/>
      <c r="B5" s="452"/>
      <c r="C5" s="464"/>
      <c r="D5" s="455"/>
      <c r="E5" s="379"/>
      <c r="F5" s="378"/>
      <c r="G5" s="380"/>
      <c r="H5" s="467" t="str">
        <f>IF(C5&gt;0,SUMIF('Final Budget'!A$9:A$46,C5,'Final Budget'!E$9:E$46)-SUMIF('Draw Request'!C$3:C4,C5,I$3:I4),"")</f>
        <v/>
      </c>
      <c r="I5" s="381">
        <v>0</v>
      </c>
      <c r="J5" s="233"/>
      <c r="K5" s="234"/>
      <c r="L5" s="382"/>
      <c r="M5" s="383"/>
      <c r="N5" s="383"/>
      <c r="O5" s="384"/>
      <c r="P5" s="109" t="s">
        <v>18</v>
      </c>
      <c r="Q5" s="385"/>
      <c r="R5" s="410" t="s">
        <v>64</v>
      </c>
      <c r="S5">
        <v>1</v>
      </c>
      <c r="T5" s="91">
        <v>3</v>
      </c>
      <c r="U5" s="94"/>
      <c r="V5" s="94"/>
      <c r="W5" s="172"/>
    </row>
    <row r="6" spans="1:23" s="3" customFormat="1" ht="12" customHeight="1" x14ac:dyDescent="0.35">
      <c r="A6" s="225"/>
      <c r="B6" s="452"/>
      <c r="C6" s="473"/>
      <c r="D6" s="455"/>
      <c r="E6" s="379"/>
      <c r="F6" s="378"/>
      <c r="G6" s="380"/>
      <c r="H6" s="467" t="str">
        <f>IF(C6&gt;0,SUMIF('Final Budget'!A$9:A$46,C6,'Final Budget'!E$9:E$46)-SUMIF('Draw Request'!C$3:C5,C6,I$3:I5),"")</f>
        <v/>
      </c>
      <c r="I6" s="381">
        <v>0</v>
      </c>
      <c r="J6" s="233"/>
      <c r="K6" s="234"/>
      <c r="L6" s="382"/>
      <c r="M6" s="383"/>
      <c r="N6" s="383"/>
      <c r="O6" s="384"/>
      <c r="P6" s="4" t="s">
        <v>363</v>
      </c>
      <c r="Q6" s="385"/>
      <c r="R6" s="410" t="s">
        <v>63</v>
      </c>
      <c r="S6">
        <v>1</v>
      </c>
      <c r="T6" s="110">
        <v>4</v>
      </c>
      <c r="U6" s="94"/>
      <c r="V6" s="94"/>
      <c r="W6" s="172"/>
    </row>
    <row r="7" spans="1:23" s="3" customFormat="1" ht="12" customHeight="1" x14ac:dyDescent="0.35">
      <c r="A7" s="225"/>
      <c r="B7" s="452"/>
      <c r="C7" s="464"/>
      <c r="D7" s="455"/>
      <c r="E7" s="379"/>
      <c r="F7" s="378"/>
      <c r="G7" s="380"/>
      <c r="H7" s="467" t="str">
        <f>IF(C7&gt;0,SUMIF('Final Budget'!A$9:A$46,C7,'Final Budget'!E$9:E$46)-SUMIF('Draw Request'!C$3:C6,C7,I$3:I6),"")</f>
        <v/>
      </c>
      <c r="I7" s="381">
        <v>0</v>
      </c>
      <c r="J7" s="233"/>
      <c r="K7" s="234"/>
      <c r="L7" s="382"/>
      <c r="M7" s="383"/>
      <c r="N7" s="383"/>
      <c r="O7" s="384"/>
      <c r="P7" s="4" t="s">
        <v>407</v>
      </c>
      <c r="Q7" s="385"/>
      <c r="R7" s="412" t="s">
        <v>449</v>
      </c>
      <c r="S7" s="3">
        <v>0.9</v>
      </c>
      <c r="T7" s="110">
        <v>5</v>
      </c>
      <c r="U7" s="4"/>
      <c r="V7" s="4"/>
      <c r="W7" s="172"/>
    </row>
    <row r="8" spans="1:23" s="3" customFormat="1" ht="12" customHeight="1" x14ac:dyDescent="0.35">
      <c r="A8" s="225"/>
      <c r="B8" s="452"/>
      <c r="C8" s="464"/>
      <c r="D8" s="455"/>
      <c r="E8" s="379"/>
      <c r="F8" s="378"/>
      <c r="G8" s="380"/>
      <c r="H8" s="467" t="str">
        <f>IF(C8&gt;0,SUMIF('Final Budget'!A$9:A$46,C8,'Final Budget'!E$9:E$46)-SUMIF('Draw Request'!C$3:C7,C8,I$3:I7),"")</f>
        <v/>
      </c>
      <c r="I8" s="381">
        <v>0</v>
      </c>
      <c r="J8" s="233"/>
      <c r="K8" s="234"/>
      <c r="L8" s="382"/>
      <c r="M8" s="383"/>
      <c r="N8" s="383"/>
      <c r="O8" s="384"/>
      <c r="P8" s="4"/>
      <c r="Q8" s="385"/>
      <c r="R8" s="411" t="s">
        <v>188</v>
      </c>
      <c r="S8">
        <v>0.9</v>
      </c>
      <c r="T8" s="94">
        <v>6</v>
      </c>
      <c r="U8" s="4"/>
      <c r="V8" s="4"/>
      <c r="W8" s="172"/>
    </row>
    <row r="9" spans="1:23" s="3" customFormat="1" ht="12" customHeight="1" x14ac:dyDescent="0.35">
      <c r="A9" s="225"/>
      <c r="B9" s="452"/>
      <c r="C9" s="464"/>
      <c r="D9" s="455"/>
      <c r="E9" s="379"/>
      <c r="F9" s="378"/>
      <c r="G9" s="380"/>
      <c r="H9" s="467" t="str">
        <f>IF(C9&gt;0,SUMIF('Final Budget'!A$9:A$46,C9,'Final Budget'!E$9:E$46)-SUMIF('Draw Request'!C$3:C8,C9,I$3:I8),"")</f>
        <v/>
      </c>
      <c r="I9" s="381">
        <v>0</v>
      </c>
      <c r="J9" s="233"/>
      <c r="K9" s="234"/>
      <c r="L9" s="382"/>
      <c r="M9" s="383"/>
      <c r="N9" s="383"/>
      <c r="O9" s="384"/>
      <c r="P9" s="4"/>
      <c r="Q9" s="385"/>
      <c r="R9" s="410" t="s">
        <v>4</v>
      </c>
      <c r="S9" s="4">
        <v>1</v>
      </c>
      <c r="T9" s="94">
        <v>7</v>
      </c>
      <c r="U9" s="4"/>
      <c r="V9" s="4"/>
      <c r="W9" s="172"/>
    </row>
    <row r="10" spans="1:23" ht="13.5" customHeight="1" x14ac:dyDescent="0.35">
      <c r="A10" s="225"/>
      <c r="B10" s="453"/>
      <c r="C10" s="464"/>
      <c r="D10" s="455"/>
      <c r="E10" s="196"/>
      <c r="F10" s="195"/>
      <c r="G10" s="197"/>
      <c r="H10" s="467" t="str">
        <f>IF(C10&gt;0,SUMIF('Final Budget'!A$9:A$46,C10,'Final Budget'!E$9:E$46)-SUMIF('Draw Request'!C$3:C9,C10,I$3:I9),"")</f>
        <v/>
      </c>
      <c r="I10" s="381">
        <v>0</v>
      </c>
      <c r="J10" s="233"/>
      <c r="K10" s="234"/>
      <c r="L10" s="215"/>
      <c r="M10" s="205"/>
      <c r="N10" s="205"/>
      <c r="O10" s="206"/>
      <c r="P10" s="13"/>
      <c r="R10" s="411" t="s">
        <v>189</v>
      </c>
      <c r="S10">
        <v>0.9</v>
      </c>
      <c r="T10" s="94">
        <v>8</v>
      </c>
      <c r="U10" s="4"/>
      <c r="V10" s="4"/>
      <c r="W10" s="173" t="s">
        <v>78</v>
      </c>
    </row>
    <row r="11" spans="1:23" ht="12" customHeight="1" x14ac:dyDescent="0.35">
      <c r="A11" s="225"/>
      <c r="B11" s="454"/>
      <c r="C11" s="465"/>
      <c r="D11" s="455"/>
      <c r="E11" s="200"/>
      <c r="F11" s="199"/>
      <c r="G11" s="201"/>
      <c r="H11" s="468" t="str">
        <f>IF(C11&gt;0,SUMIF('Final Budget'!A$9:A$46,C11,'Final Budget'!E$9:E$46)-SUMIF('Draw Request'!C$3:C10,C11,I$3:I10),"")</f>
        <v/>
      </c>
      <c r="I11" s="381">
        <v>0</v>
      </c>
      <c r="J11" s="233"/>
      <c r="K11" s="234"/>
      <c r="L11" s="216"/>
      <c r="M11" s="207"/>
      <c r="N11" s="207"/>
      <c r="O11" s="208"/>
      <c r="P11" s="13"/>
      <c r="R11" s="411" t="s">
        <v>419</v>
      </c>
      <c r="S11" s="12">
        <v>0.9</v>
      </c>
      <c r="T11" s="94">
        <v>9</v>
      </c>
      <c r="U11" s="4"/>
      <c r="V11" s="4"/>
    </row>
    <row r="12" spans="1:23" ht="16.5" customHeight="1" x14ac:dyDescent="0.35">
      <c r="A12" s="226"/>
      <c r="B12" s="227"/>
      <c r="C12" s="456"/>
      <c r="D12" s="229"/>
      <c r="E12" s="230"/>
      <c r="F12" s="229"/>
      <c r="G12" s="227"/>
      <c r="H12" s="248" t="s">
        <v>21</v>
      </c>
      <c r="I12" s="249">
        <f>+SUM(I4:I11)</f>
        <v>0</v>
      </c>
      <c r="J12" s="235"/>
      <c r="K12" s="236"/>
      <c r="L12" s="228"/>
      <c r="M12" s="228"/>
      <c r="N12" s="228"/>
      <c r="O12" s="237"/>
      <c r="P12" s="4"/>
      <c r="R12" s="410" t="s">
        <v>163</v>
      </c>
      <c r="S12" s="4">
        <v>1</v>
      </c>
      <c r="T12" s="94">
        <v>10</v>
      </c>
      <c r="U12" s="4"/>
      <c r="V12" s="4"/>
    </row>
    <row r="13" spans="1:23" ht="14.25" customHeight="1" thickBot="1" x14ac:dyDescent="0.4">
      <c r="A13" s="386"/>
      <c r="B13" s="387" t="s">
        <v>412</v>
      </c>
      <c r="C13" s="388"/>
      <c r="D13" s="390">
        <f>TOTAL_COST_INCURRED_LOG</f>
        <v>0</v>
      </c>
      <c r="E13" s="511" t="s">
        <v>403</v>
      </c>
      <c r="F13" s="512"/>
      <c r="G13" s="389" t="str">
        <f>IF(D14&gt;=0.5,D14,0)</f>
        <v>N/A</v>
      </c>
      <c r="H13" s="132"/>
      <c r="I13" s="132"/>
      <c r="J13" s="129"/>
      <c r="K13" s="217"/>
      <c r="L13" s="129"/>
      <c r="M13" s="129"/>
      <c r="N13" s="130"/>
      <c r="O13" s="133"/>
      <c r="P13" s="3"/>
      <c r="R13" s="410" t="s">
        <v>177</v>
      </c>
      <c r="S13">
        <v>0.9</v>
      </c>
      <c r="T13" s="4"/>
      <c r="U13" s="4"/>
      <c r="V13" s="4"/>
    </row>
    <row r="14" spans="1:23" ht="13.5" customHeight="1" thickBot="1" x14ac:dyDescent="0.4">
      <c r="A14" s="131"/>
      <c r="B14" s="387" t="s">
        <v>413</v>
      </c>
      <c r="C14" s="388"/>
      <c r="D14" s="389" t="str">
        <f>IF(D13&gt;0,D13/V1,"N/A")</f>
        <v>N/A</v>
      </c>
      <c r="E14" s="513" t="s">
        <v>404</v>
      </c>
      <c r="F14" s="514"/>
      <c r="G14" s="389" t="e">
        <f>'Final Budget'!S20/'Final Budget'!S6</f>
        <v>#DIV/0!</v>
      </c>
      <c r="H14" s="132"/>
      <c r="I14" s="132"/>
      <c r="J14" s="129"/>
      <c r="K14" s="217"/>
      <c r="L14" s="129"/>
      <c r="M14" s="129"/>
      <c r="N14" s="130"/>
      <c r="O14" s="217"/>
      <c r="P14" s="4"/>
      <c r="R14" s="413" t="s">
        <v>386</v>
      </c>
      <c r="S14" s="4">
        <v>1</v>
      </c>
      <c r="T14" s="4"/>
      <c r="U14" s="4"/>
      <c r="V14" s="4"/>
    </row>
    <row r="15" spans="1:23" s="12" customFormat="1" ht="16.5" customHeight="1" x14ac:dyDescent="0.35">
      <c r="A15" s="509" t="s">
        <v>33</v>
      </c>
      <c r="B15" s="510"/>
      <c r="C15" s="510"/>
      <c r="D15" s="93"/>
      <c r="E15" s="18"/>
      <c r="F15" s="93"/>
      <c r="G15" s="95"/>
      <c r="H15" s="19"/>
      <c r="I15" s="19"/>
      <c r="J15" s="17"/>
      <c r="K15" s="218"/>
      <c r="L15" s="20" t="s">
        <v>15</v>
      </c>
      <c r="M15" s="24"/>
      <c r="N15" s="25"/>
      <c r="O15" s="189"/>
      <c r="P15" s="4"/>
      <c r="R15" s="413" t="s">
        <v>385</v>
      </c>
      <c r="S15" s="4">
        <v>1</v>
      </c>
      <c r="T15" s="4"/>
      <c r="U15" s="4"/>
      <c r="V15" s="4"/>
      <c r="W15" s="174"/>
    </row>
    <row r="16" spans="1:23" s="12" customFormat="1" ht="57.65" customHeight="1" x14ac:dyDescent="0.35">
      <c r="A16" s="162" t="s">
        <v>351</v>
      </c>
      <c r="B16" s="160" t="s">
        <v>352</v>
      </c>
      <c r="C16" s="160" t="s">
        <v>353</v>
      </c>
      <c r="D16" s="160" t="s">
        <v>354</v>
      </c>
      <c r="E16" s="160" t="s">
        <v>355</v>
      </c>
      <c r="F16" s="160" t="s">
        <v>356</v>
      </c>
      <c r="G16" s="160" t="s">
        <v>357</v>
      </c>
      <c r="H16" s="160" t="s">
        <v>358</v>
      </c>
      <c r="I16" s="160" t="s">
        <v>359</v>
      </c>
      <c r="J16" s="160" t="s">
        <v>360</v>
      </c>
      <c r="K16" s="219" t="s">
        <v>361</v>
      </c>
      <c r="L16" s="111" t="s">
        <v>377</v>
      </c>
      <c r="M16" s="22" t="s">
        <v>380</v>
      </c>
      <c r="N16" s="22" t="s">
        <v>378</v>
      </c>
      <c r="O16" s="23" t="s">
        <v>379</v>
      </c>
      <c r="P16" s="4"/>
      <c r="R16" s="412" t="s">
        <v>415</v>
      </c>
      <c r="S16" s="8">
        <v>0.9</v>
      </c>
      <c r="T16" s="4"/>
      <c r="U16" s="4"/>
      <c r="V16" s="4"/>
      <c r="W16" s="174"/>
    </row>
    <row r="17" spans="1:23" s="3" customFormat="1" ht="12" customHeight="1" x14ac:dyDescent="0.35">
      <c r="A17" s="245"/>
      <c r="B17" s="193" t="s">
        <v>136</v>
      </c>
      <c r="C17" s="469"/>
      <c r="D17" s="191"/>
      <c r="E17" s="192" t="s">
        <v>136</v>
      </c>
      <c r="F17" s="191" t="s">
        <v>136</v>
      </c>
      <c r="G17" s="193" t="s">
        <v>136</v>
      </c>
      <c r="H17" s="194" t="str">
        <f>IF(C17&gt;0,SUMIF('Final Budget'!A$9:A$46,C17,'Final Budget'!C$9:C$46)-SUMIF(C$16:C16,C17,I$16:I38),"")</f>
        <v/>
      </c>
      <c r="I17" s="209">
        <v>0</v>
      </c>
      <c r="J17" s="194" t="str">
        <f t="shared" ref="J17:J61" si="0">IF(I17&gt;0,SUMIF(R$3:R$24,C17,S$3:S$24)*I17,"")</f>
        <v/>
      </c>
      <c r="K17" s="220" t="str">
        <f t="shared" ref="K17:K32" si="1">IF(AND(I17&gt;0,J17&gt;0),I17-J17,"")</f>
        <v/>
      </c>
      <c r="L17" s="214"/>
      <c r="M17" s="203" t="s">
        <v>136</v>
      </c>
      <c r="N17" s="203" t="s">
        <v>136</v>
      </c>
      <c r="O17" s="204" t="s">
        <v>136</v>
      </c>
      <c r="P17" s="4"/>
      <c r="Q17"/>
      <c r="R17" s="413" t="s">
        <v>387</v>
      </c>
      <c r="S17" s="4">
        <v>1</v>
      </c>
      <c r="T17" s="4"/>
      <c r="U17" s="4"/>
      <c r="V17" s="4"/>
      <c r="W17" s="174"/>
    </row>
    <row r="18" spans="1:23" s="4" customFormat="1" ht="12" customHeight="1" x14ac:dyDescent="0.3">
      <c r="A18" s="246"/>
      <c r="B18" s="197" t="s">
        <v>136</v>
      </c>
      <c r="C18" s="470"/>
      <c r="D18" s="195"/>
      <c r="E18" s="196" t="s">
        <v>136</v>
      </c>
      <c r="F18" s="195" t="s">
        <v>136</v>
      </c>
      <c r="G18" s="197" t="s">
        <v>136</v>
      </c>
      <c r="H18" s="198" t="str">
        <f>IF(C18&gt;0,SUMIF('Final Budget'!A$9:A$46,C18,'Final Budget'!C$9:C$46)-SUMIF(C$16:C17,C18,I$16:I39),"")</f>
        <v/>
      </c>
      <c r="I18" s="210">
        <v>0</v>
      </c>
      <c r="J18" s="198" t="str">
        <f t="shared" si="0"/>
        <v/>
      </c>
      <c r="K18" s="221" t="str">
        <f t="shared" si="1"/>
        <v/>
      </c>
      <c r="L18" s="215"/>
      <c r="M18" s="205" t="s">
        <v>136</v>
      </c>
      <c r="N18" s="205" t="s">
        <v>136</v>
      </c>
      <c r="O18" s="206" t="s">
        <v>136</v>
      </c>
      <c r="Q18" s="3" t="s">
        <v>136</v>
      </c>
      <c r="R18" s="413" t="s">
        <v>429</v>
      </c>
      <c r="S18" s="4">
        <v>1</v>
      </c>
      <c r="W18" s="174"/>
    </row>
    <row r="19" spans="1:23" s="4" customFormat="1" ht="12" customHeight="1" x14ac:dyDescent="0.3">
      <c r="A19" s="246"/>
      <c r="B19" s="197" t="s">
        <v>136</v>
      </c>
      <c r="C19" s="470"/>
      <c r="D19" s="195"/>
      <c r="E19" s="196" t="s">
        <v>136</v>
      </c>
      <c r="F19" s="195" t="s">
        <v>136</v>
      </c>
      <c r="G19" s="197" t="s">
        <v>136</v>
      </c>
      <c r="H19" s="198" t="str">
        <f>IF(C19&gt;0,SUMIF('Final Budget'!A$9:A$46,C19,'Final Budget'!C$9:C$46)-SUMIF(C$16:C18,C19,I$16:I61),"")</f>
        <v/>
      </c>
      <c r="I19" s="210">
        <v>0</v>
      </c>
      <c r="J19" s="198" t="str">
        <f t="shared" si="0"/>
        <v/>
      </c>
      <c r="K19" s="221" t="str">
        <f t="shared" si="1"/>
        <v/>
      </c>
      <c r="L19" s="215"/>
      <c r="M19" s="205" t="s">
        <v>136</v>
      </c>
      <c r="N19" s="205" t="s">
        <v>136</v>
      </c>
      <c r="O19" s="206" t="s">
        <v>136</v>
      </c>
      <c r="R19" s="4" t="s">
        <v>161</v>
      </c>
      <c r="S19" s="4">
        <v>1</v>
      </c>
      <c r="W19" s="174"/>
    </row>
    <row r="20" spans="1:23" s="4" customFormat="1" ht="12" customHeight="1" x14ac:dyDescent="0.3">
      <c r="A20" s="246"/>
      <c r="B20" s="197" t="s">
        <v>136</v>
      </c>
      <c r="C20" s="470"/>
      <c r="D20" s="195"/>
      <c r="E20" s="196" t="s">
        <v>136</v>
      </c>
      <c r="F20" s="195" t="s">
        <v>136</v>
      </c>
      <c r="G20" s="197" t="s">
        <v>136</v>
      </c>
      <c r="H20" s="198" t="str">
        <f>IF(C20&gt;0,SUMIF('Final Budget'!A$9:A$46,C20,'Final Budget'!C$9:C$46)-SUMIF(C$16:C19,C20,I$16:I61),"")</f>
        <v/>
      </c>
      <c r="I20" s="210">
        <v>0</v>
      </c>
      <c r="J20" s="198" t="str">
        <f t="shared" si="0"/>
        <v/>
      </c>
      <c r="K20" s="221" t="str">
        <f t="shared" si="1"/>
        <v/>
      </c>
      <c r="L20" s="215"/>
      <c r="M20" s="205" t="s">
        <v>136</v>
      </c>
      <c r="N20" s="205" t="s">
        <v>136</v>
      </c>
      <c r="O20" s="206" t="s">
        <v>136</v>
      </c>
      <c r="R20" s="410" t="s">
        <v>418</v>
      </c>
      <c r="S20" s="3">
        <v>0.9</v>
      </c>
      <c r="W20" s="174"/>
    </row>
    <row r="21" spans="1:23" s="4" customFormat="1" ht="12" customHeight="1" x14ac:dyDescent="0.3">
      <c r="A21" s="246"/>
      <c r="B21" s="197" t="s">
        <v>136</v>
      </c>
      <c r="C21" s="470"/>
      <c r="D21" s="195"/>
      <c r="E21" s="196" t="s">
        <v>136</v>
      </c>
      <c r="F21" s="195" t="s">
        <v>136</v>
      </c>
      <c r="G21" s="197" t="s">
        <v>136</v>
      </c>
      <c r="H21" s="198" t="str">
        <f>IF(C21&gt;0,SUMIF('Final Budget'!A$9:A$46,C21,'Final Budget'!C$9:C$46)-SUMIF(C$16:C20,C21,I$16:I62),"")</f>
        <v/>
      </c>
      <c r="I21" s="210">
        <v>0</v>
      </c>
      <c r="J21" s="198" t="str">
        <f t="shared" si="0"/>
        <v/>
      </c>
      <c r="K21" s="221" t="str">
        <f t="shared" si="1"/>
        <v/>
      </c>
      <c r="L21" s="215"/>
      <c r="M21" s="205" t="s">
        <v>136</v>
      </c>
      <c r="N21" s="205" t="s">
        <v>136</v>
      </c>
      <c r="O21" s="206" t="s">
        <v>136</v>
      </c>
      <c r="R21" s="410" t="s">
        <v>6</v>
      </c>
      <c r="S21" s="4">
        <v>1</v>
      </c>
      <c r="W21" s="174"/>
    </row>
    <row r="22" spans="1:23" s="4" customFormat="1" ht="12" customHeight="1" x14ac:dyDescent="0.3">
      <c r="A22" s="246"/>
      <c r="B22" s="197" t="s">
        <v>136</v>
      </c>
      <c r="C22" s="470"/>
      <c r="D22" s="195"/>
      <c r="E22" s="196" t="s">
        <v>136</v>
      </c>
      <c r="F22" s="195" t="s">
        <v>136</v>
      </c>
      <c r="G22" s="197" t="s">
        <v>136</v>
      </c>
      <c r="H22" s="198" t="str">
        <f>IF(C22&gt;0,SUMIF('Final Budget'!A$9:A$46,C22,'Final Budget'!C$9:C$46)-SUMIF(C$16:C21,C22,I$16:I63),"")</f>
        <v/>
      </c>
      <c r="I22" s="210">
        <v>0</v>
      </c>
      <c r="J22" s="198" t="str">
        <f t="shared" si="0"/>
        <v/>
      </c>
      <c r="K22" s="221" t="str">
        <f t="shared" si="1"/>
        <v/>
      </c>
      <c r="L22" s="215"/>
      <c r="M22" s="205" t="s">
        <v>136</v>
      </c>
      <c r="N22" s="205" t="s">
        <v>136</v>
      </c>
      <c r="O22" s="206" t="s">
        <v>136</v>
      </c>
      <c r="R22" s="410" t="s">
        <v>7</v>
      </c>
      <c r="S22" s="4">
        <v>1</v>
      </c>
      <c r="W22" s="174"/>
    </row>
    <row r="23" spans="1:23" s="4" customFormat="1" ht="12" customHeight="1" x14ac:dyDescent="0.3">
      <c r="A23" s="246"/>
      <c r="B23" s="197" t="s">
        <v>136</v>
      </c>
      <c r="C23" s="470"/>
      <c r="D23" s="195"/>
      <c r="E23" s="196" t="s">
        <v>136</v>
      </c>
      <c r="F23" s="195" t="s">
        <v>136</v>
      </c>
      <c r="G23" s="197" t="s">
        <v>136</v>
      </c>
      <c r="H23" s="198" t="str">
        <f>IF(C23&gt;0,SUMIF('Final Budget'!A$9:A$46,C23,'Final Budget'!C$9:C$46)-SUMIF(C$16:C22,C23,I$16:I64),"")</f>
        <v/>
      </c>
      <c r="I23" s="210">
        <v>0</v>
      </c>
      <c r="J23" s="198" t="str">
        <f t="shared" si="0"/>
        <v/>
      </c>
      <c r="K23" s="221" t="str">
        <f t="shared" si="1"/>
        <v/>
      </c>
      <c r="L23" s="215"/>
      <c r="M23" s="205" t="s">
        <v>136</v>
      </c>
      <c r="N23" s="205" t="s">
        <v>136</v>
      </c>
      <c r="O23" s="206" t="s">
        <v>136</v>
      </c>
      <c r="R23" s="410" t="s">
        <v>162</v>
      </c>
      <c r="S23" s="4">
        <v>1</v>
      </c>
      <c r="W23" s="174"/>
    </row>
    <row r="24" spans="1:23" s="4" customFormat="1" ht="12" customHeight="1" x14ac:dyDescent="0.3">
      <c r="A24" s="246"/>
      <c r="B24" s="197" t="s">
        <v>136</v>
      </c>
      <c r="C24" s="470"/>
      <c r="D24" s="195"/>
      <c r="E24" s="196" t="s">
        <v>136</v>
      </c>
      <c r="F24" s="195" t="s">
        <v>136</v>
      </c>
      <c r="G24" s="197" t="s">
        <v>136</v>
      </c>
      <c r="H24" s="198" t="str">
        <f>IF(C24&gt;0,SUMIF('Final Budget'!A$9:A$46,C24,'Final Budget'!C$9:C$46)-SUMIF(C$16:C23,C24,I$16:I65),"")</f>
        <v/>
      </c>
      <c r="I24" s="210">
        <v>0</v>
      </c>
      <c r="J24" s="198" t="str">
        <f t="shared" si="0"/>
        <v/>
      </c>
      <c r="K24" s="221" t="str">
        <f t="shared" si="1"/>
        <v/>
      </c>
      <c r="L24" s="215"/>
      <c r="M24" s="205" t="s">
        <v>136</v>
      </c>
      <c r="N24" s="205" t="s">
        <v>136</v>
      </c>
      <c r="O24" s="206" t="s">
        <v>136</v>
      </c>
      <c r="R24" s="410" t="s">
        <v>5</v>
      </c>
      <c r="S24" s="4">
        <v>1</v>
      </c>
      <c r="W24" s="174"/>
    </row>
    <row r="25" spans="1:23" s="4" customFormat="1" ht="12" customHeight="1" x14ac:dyDescent="0.3">
      <c r="A25" s="246"/>
      <c r="B25" s="197" t="s">
        <v>136</v>
      </c>
      <c r="C25" s="470"/>
      <c r="D25" s="195"/>
      <c r="E25" s="196" t="s">
        <v>136</v>
      </c>
      <c r="F25" s="195" t="s">
        <v>136</v>
      </c>
      <c r="G25" s="197" t="s">
        <v>136</v>
      </c>
      <c r="H25" s="198" t="str">
        <f>IF(C25&gt;0,SUMIF('Final Budget'!A$9:A$46,C25,'Final Budget'!C$9:C$46)-SUMIF(C$16:C24,C25,I$16:I66),"")</f>
        <v/>
      </c>
      <c r="I25" s="210">
        <v>0</v>
      </c>
      <c r="J25" s="198" t="str">
        <f t="shared" si="0"/>
        <v/>
      </c>
      <c r="K25" s="221" t="str">
        <f t="shared" si="1"/>
        <v/>
      </c>
      <c r="L25" s="215"/>
      <c r="M25" s="205" t="s">
        <v>136</v>
      </c>
      <c r="N25" s="205" t="s">
        <v>136</v>
      </c>
      <c r="O25" s="206" t="s">
        <v>136</v>
      </c>
      <c r="W25" s="174"/>
    </row>
    <row r="26" spans="1:23" s="4" customFormat="1" ht="12" customHeight="1" x14ac:dyDescent="0.3">
      <c r="A26" s="246"/>
      <c r="B26" s="197" t="s">
        <v>136</v>
      </c>
      <c r="C26" s="470"/>
      <c r="D26" s="195"/>
      <c r="E26" s="196" t="s">
        <v>136</v>
      </c>
      <c r="F26" s="195" t="s">
        <v>136</v>
      </c>
      <c r="G26" s="197" t="s">
        <v>136</v>
      </c>
      <c r="H26" s="198" t="str">
        <f>IF(C26&gt;0,SUMIF('Final Budget'!A$9:A$46,C26,'Final Budget'!C$9:C$46)-SUMIF(C$16:C25,C26,I$16:I67),"")</f>
        <v/>
      </c>
      <c r="I26" s="210">
        <v>0</v>
      </c>
      <c r="J26" s="198" t="str">
        <f t="shared" si="0"/>
        <v/>
      </c>
      <c r="K26" s="221" t="str">
        <f t="shared" si="1"/>
        <v/>
      </c>
      <c r="L26" s="215"/>
      <c r="M26" s="205" t="s">
        <v>136</v>
      </c>
      <c r="N26" s="205" t="s">
        <v>136</v>
      </c>
      <c r="O26" s="206" t="s">
        <v>136</v>
      </c>
      <c r="W26" s="174"/>
    </row>
    <row r="27" spans="1:23" s="4" customFormat="1" ht="12" customHeight="1" x14ac:dyDescent="0.3">
      <c r="A27" s="246"/>
      <c r="B27" s="197" t="s">
        <v>136</v>
      </c>
      <c r="C27" s="470"/>
      <c r="D27" s="195"/>
      <c r="E27" s="196" t="s">
        <v>136</v>
      </c>
      <c r="F27" s="195" t="s">
        <v>136</v>
      </c>
      <c r="G27" s="197" t="s">
        <v>136</v>
      </c>
      <c r="H27" s="198" t="str">
        <f>IF(C27&gt;0,SUMIF('Final Budget'!A$9:A$46,C27,'Final Budget'!C$9:C$46)-SUMIF(C$16:C26,C27,I$16:I68),"")</f>
        <v/>
      </c>
      <c r="I27" s="210">
        <v>0</v>
      </c>
      <c r="J27" s="198" t="str">
        <f t="shared" si="0"/>
        <v/>
      </c>
      <c r="K27" s="221" t="str">
        <f>IF(AND(I27&gt;0,J27&gt;0),I27-J27,"")</f>
        <v/>
      </c>
      <c r="L27" s="215"/>
      <c r="M27" s="205"/>
      <c r="N27" s="205"/>
      <c r="O27" s="206"/>
      <c r="W27" s="174"/>
    </row>
    <row r="28" spans="1:23" s="4" customFormat="1" ht="12" customHeight="1" x14ac:dyDescent="0.3">
      <c r="A28" s="246"/>
      <c r="B28" s="197" t="s">
        <v>136</v>
      </c>
      <c r="C28" s="470"/>
      <c r="D28" s="195"/>
      <c r="E28" s="196" t="s">
        <v>136</v>
      </c>
      <c r="F28" s="195" t="s">
        <v>136</v>
      </c>
      <c r="G28" s="197" t="s">
        <v>136</v>
      </c>
      <c r="H28" s="198" t="str">
        <f>IF(C28&gt;0,SUMIF('Final Budget'!A$9:A$46,C28,'Final Budget'!C$9:C$46)-SUMIF(C$16:C27,C28,I$16:I69),"")</f>
        <v/>
      </c>
      <c r="I28" s="210">
        <v>0</v>
      </c>
      <c r="J28" s="198" t="str">
        <f t="shared" si="0"/>
        <v/>
      </c>
      <c r="K28" s="221" t="str">
        <f t="shared" si="1"/>
        <v/>
      </c>
      <c r="L28" s="215"/>
      <c r="M28" s="205"/>
      <c r="N28" s="205"/>
      <c r="O28" s="206"/>
      <c r="W28" s="174"/>
    </row>
    <row r="29" spans="1:23" s="4" customFormat="1" ht="12" customHeight="1" x14ac:dyDescent="0.3">
      <c r="A29" s="246"/>
      <c r="B29" s="197"/>
      <c r="C29" s="470"/>
      <c r="D29" s="195"/>
      <c r="E29" s="196"/>
      <c r="F29" s="195"/>
      <c r="G29" s="197"/>
      <c r="H29" s="198" t="str">
        <f>IF(C29&gt;0,SUMIF('Final Budget'!A$9:A$46,C29,'Final Budget'!C$9:C$46)-SUMIF(C$16:C28,C29,I$16:I70),"")</f>
        <v/>
      </c>
      <c r="I29" s="210">
        <v>0</v>
      </c>
      <c r="J29" s="198" t="str">
        <f t="shared" si="0"/>
        <v/>
      </c>
      <c r="K29" s="221" t="str">
        <f t="shared" si="1"/>
        <v/>
      </c>
      <c r="L29" s="215"/>
      <c r="M29" s="205"/>
      <c r="N29" s="205"/>
      <c r="O29" s="206"/>
      <c r="W29" s="174"/>
    </row>
    <row r="30" spans="1:23" s="4" customFormat="1" ht="12" customHeight="1" x14ac:dyDescent="0.3">
      <c r="A30" s="246"/>
      <c r="B30" s="197"/>
      <c r="C30" s="470"/>
      <c r="D30" s="195"/>
      <c r="E30" s="196"/>
      <c r="F30" s="195"/>
      <c r="G30" s="197"/>
      <c r="H30" s="198" t="str">
        <f>IF(C30&gt;0,SUMIF('Final Budget'!A$9:A$46,C30,'Final Budget'!C$9:C$46)-SUMIF(C$16:C29,C30,I$16:I72),"")</f>
        <v/>
      </c>
      <c r="I30" s="210">
        <v>0</v>
      </c>
      <c r="J30" s="198" t="str">
        <f t="shared" si="0"/>
        <v/>
      </c>
      <c r="K30" s="221" t="str">
        <f t="shared" si="1"/>
        <v/>
      </c>
      <c r="L30" s="215"/>
      <c r="M30" s="205"/>
      <c r="N30" s="205"/>
      <c r="O30" s="206"/>
      <c r="W30" s="174"/>
    </row>
    <row r="31" spans="1:23" s="4" customFormat="1" ht="12" customHeight="1" x14ac:dyDescent="0.3">
      <c r="A31" s="246"/>
      <c r="B31" s="197"/>
      <c r="C31" s="470"/>
      <c r="D31" s="195"/>
      <c r="E31" s="196"/>
      <c r="F31" s="195"/>
      <c r="G31" s="197"/>
      <c r="H31" s="198" t="str">
        <f>IF(C31&gt;0,SUMIF('Final Budget'!A$9:A$46,C31,'Final Budget'!C$9:C$46)-SUMIF(C$16:C30,C31,I$16:I73),"")</f>
        <v/>
      </c>
      <c r="I31" s="210">
        <v>0</v>
      </c>
      <c r="J31" s="198" t="str">
        <f t="shared" si="0"/>
        <v/>
      </c>
      <c r="K31" s="221" t="str">
        <f t="shared" si="1"/>
        <v/>
      </c>
      <c r="L31" s="215"/>
      <c r="M31" s="205"/>
      <c r="N31" s="205"/>
      <c r="O31" s="206"/>
      <c r="W31" s="174"/>
    </row>
    <row r="32" spans="1:23" s="4" customFormat="1" ht="12" customHeight="1" x14ac:dyDescent="0.3">
      <c r="A32" s="246"/>
      <c r="B32" s="197"/>
      <c r="C32" s="470"/>
      <c r="D32" s="195"/>
      <c r="E32" s="196"/>
      <c r="F32" s="195"/>
      <c r="G32" s="197"/>
      <c r="H32" s="198" t="str">
        <f>IF(C32&gt;0,SUMIF('Final Budget'!A$9:A$46,C32,'Final Budget'!C$9:C$46)-SUMIF(C$16:C31,C32,I$16:I74),"")</f>
        <v/>
      </c>
      <c r="I32" s="210">
        <v>0</v>
      </c>
      <c r="J32" s="198" t="str">
        <f t="shared" si="0"/>
        <v/>
      </c>
      <c r="K32" s="221" t="str">
        <f t="shared" si="1"/>
        <v/>
      </c>
      <c r="L32" s="215"/>
      <c r="M32" s="205"/>
      <c r="N32" s="205"/>
      <c r="O32" s="206"/>
      <c r="W32" s="174"/>
    </row>
    <row r="33" spans="1:23" s="4" customFormat="1" ht="12" customHeight="1" x14ac:dyDescent="0.3">
      <c r="A33" s="246"/>
      <c r="B33" s="197"/>
      <c r="C33" s="470"/>
      <c r="D33" s="195"/>
      <c r="E33" s="196"/>
      <c r="F33" s="195"/>
      <c r="G33" s="197"/>
      <c r="H33" s="198" t="str">
        <f>IF(C33&gt;0,SUMIF('Final Budget'!A$9:A$46,C33,'Final Budget'!C$9:C$46)-SUMIF(C$16:C32,C33,I$16:I75),"")</f>
        <v/>
      </c>
      <c r="I33" s="210">
        <v>0</v>
      </c>
      <c r="J33" s="198" t="str">
        <f t="shared" si="0"/>
        <v/>
      </c>
      <c r="K33" s="221" t="str">
        <f t="shared" ref="K33:K43" si="2">IF(AND(I33&gt;0,J33&gt;0),I33-J33,"")</f>
        <v/>
      </c>
      <c r="L33" s="215"/>
      <c r="M33" s="205"/>
      <c r="N33" s="205"/>
      <c r="O33" s="206"/>
      <c r="W33" s="174"/>
    </row>
    <row r="34" spans="1:23" s="4" customFormat="1" ht="12" customHeight="1" x14ac:dyDescent="0.3">
      <c r="A34" s="246"/>
      <c r="B34" s="197"/>
      <c r="C34" s="470"/>
      <c r="D34" s="195"/>
      <c r="E34" s="196"/>
      <c r="F34" s="195"/>
      <c r="G34" s="197"/>
      <c r="H34" s="198" t="str">
        <f>IF(C34&gt;0,SUMIF('Final Budget'!A$9:A$46,C34,'Final Budget'!C$9:C$46)-SUMIF(C$16:C33,C34,I$16:I76),"")</f>
        <v/>
      </c>
      <c r="I34" s="210">
        <v>0</v>
      </c>
      <c r="J34" s="198" t="str">
        <f t="shared" si="0"/>
        <v/>
      </c>
      <c r="K34" s="221" t="str">
        <f t="shared" si="2"/>
        <v/>
      </c>
      <c r="L34" s="215"/>
      <c r="M34" s="205"/>
      <c r="N34" s="205"/>
      <c r="O34" s="206"/>
      <c r="W34" s="174"/>
    </row>
    <row r="35" spans="1:23" s="4" customFormat="1" ht="12" customHeight="1" x14ac:dyDescent="0.3">
      <c r="A35" s="246"/>
      <c r="B35" s="197"/>
      <c r="C35" s="470"/>
      <c r="D35" s="195"/>
      <c r="E35" s="196"/>
      <c r="F35" s="195"/>
      <c r="G35" s="197"/>
      <c r="H35" s="198" t="str">
        <f>IF(C35&gt;0,SUMIF('Final Budget'!A$9:A$46,C35,'Final Budget'!C$9:C$46)-SUMIF(C$16:C34,C35,I$16:I77),"")</f>
        <v/>
      </c>
      <c r="I35" s="210">
        <v>0</v>
      </c>
      <c r="J35" s="198" t="str">
        <f t="shared" si="0"/>
        <v/>
      </c>
      <c r="K35" s="221" t="str">
        <f t="shared" si="2"/>
        <v/>
      </c>
      <c r="L35" s="215"/>
      <c r="M35" s="205"/>
      <c r="N35" s="205"/>
      <c r="O35" s="206"/>
      <c r="W35" s="174"/>
    </row>
    <row r="36" spans="1:23" s="4" customFormat="1" ht="12" customHeight="1" x14ac:dyDescent="0.3">
      <c r="A36" s="246"/>
      <c r="B36" s="197"/>
      <c r="C36" s="470"/>
      <c r="D36" s="195"/>
      <c r="E36" s="196"/>
      <c r="F36" s="195"/>
      <c r="G36" s="197"/>
      <c r="H36" s="198" t="str">
        <f>IF(C36&gt;0,SUMIF('Final Budget'!A$9:A$46,C36,'Final Budget'!C$9:C$46)-SUMIF(C$16:C35,C36,I$16:I78),"")</f>
        <v/>
      </c>
      <c r="I36" s="210">
        <v>0</v>
      </c>
      <c r="J36" s="198" t="str">
        <f t="shared" si="0"/>
        <v/>
      </c>
      <c r="K36" s="221" t="str">
        <f t="shared" si="2"/>
        <v/>
      </c>
      <c r="L36" s="215"/>
      <c r="M36" s="205"/>
      <c r="N36" s="205"/>
      <c r="O36" s="206"/>
      <c r="W36" s="174"/>
    </row>
    <row r="37" spans="1:23" s="4" customFormat="1" ht="12" customHeight="1" x14ac:dyDescent="0.3">
      <c r="A37" s="246"/>
      <c r="B37" s="197"/>
      <c r="C37" s="470"/>
      <c r="D37" s="195"/>
      <c r="E37" s="196"/>
      <c r="F37" s="195"/>
      <c r="G37" s="197"/>
      <c r="H37" s="198" t="str">
        <f>IF(C37&gt;0,SUMIF('Final Budget'!A$9:A$46,C37,'Final Budget'!C$9:C$46)-SUMIF(C$16:C36,C37,I$16:I79),"")</f>
        <v/>
      </c>
      <c r="I37" s="210">
        <v>0</v>
      </c>
      <c r="J37" s="198" t="str">
        <f t="shared" si="0"/>
        <v/>
      </c>
      <c r="K37" s="221" t="str">
        <f t="shared" si="2"/>
        <v/>
      </c>
      <c r="L37" s="215"/>
      <c r="M37" s="205"/>
      <c r="N37" s="205"/>
      <c r="O37" s="206"/>
      <c r="W37" s="174"/>
    </row>
    <row r="38" spans="1:23" s="4" customFormat="1" ht="12" customHeight="1" x14ac:dyDescent="0.3">
      <c r="A38" s="246"/>
      <c r="B38" s="197"/>
      <c r="C38" s="470"/>
      <c r="D38" s="195"/>
      <c r="E38" s="196"/>
      <c r="F38" s="195"/>
      <c r="G38" s="197"/>
      <c r="H38" s="198" t="str">
        <f>IF(C38&gt;0,SUMIF('Final Budget'!A$9:A$46,C38,'Final Budget'!C$9:C$46)-SUMIF(C$16:C32,C38,I$16:I100),"")</f>
        <v/>
      </c>
      <c r="I38" s="210">
        <v>0</v>
      </c>
      <c r="J38" s="198" t="str">
        <f t="shared" si="0"/>
        <v/>
      </c>
      <c r="K38" s="221" t="str">
        <f t="shared" si="2"/>
        <v/>
      </c>
      <c r="L38" s="215"/>
      <c r="M38" s="205"/>
      <c r="N38" s="205"/>
      <c r="O38" s="211"/>
      <c r="W38" s="174"/>
    </row>
    <row r="39" spans="1:23" s="4" customFormat="1" ht="12" customHeight="1" x14ac:dyDescent="0.3">
      <c r="A39" s="246"/>
      <c r="B39" s="197"/>
      <c r="C39" s="470"/>
      <c r="D39" s="195"/>
      <c r="E39" s="196"/>
      <c r="F39" s="195"/>
      <c r="G39" s="197"/>
      <c r="H39" s="198" t="str">
        <f>IF(C39&gt;0,SUMIF('Final Budget'!A$9:A$46,C39,'Final Budget'!C$9:C$46)-SUMIF(C$16:C38,C39,I$16:I105),"")</f>
        <v/>
      </c>
      <c r="I39" s="210">
        <v>0</v>
      </c>
      <c r="J39" s="198" t="str">
        <f t="shared" si="0"/>
        <v/>
      </c>
      <c r="K39" s="221" t="str">
        <f t="shared" si="2"/>
        <v/>
      </c>
      <c r="L39" s="215"/>
      <c r="M39" s="205"/>
      <c r="N39" s="205"/>
      <c r="O39" s="211"/>
      <c r="W39" s="174"/>
    </row>
    <row r="40" spans="1:23" s="4" customFormat="1" ht="12" customHeight="1" x14ac:dyDescent="0.3">
      <c r="A40" s="246"/>
      <c r="B40" s="197"/>
      <c r="C40" s="470"/>
      <c r="D40" s="195"/>
      <c r="E40" s="196"/>
      <c r="F40" s="195"/>
      <c r="G40" s="197"/>
      <c r="H40" s="198" t="str">
        <f>IF(C40&gt;0,SUMIF('Final Budget'!A$9:A$46,C40,'Final Budget'!C$9:C$46)-SUMIF(C$16:C39,C40,I$16:I81),"")</f>
        <v/>
      </c>
      <c r="I40" s="210">
        <v>0</v>
      </c>
      <c r="J40" s="198" t="str">
        <f t="shared" si="0"/>
        <v/>
      </c>
      <c r="K40" s="221" t="str">
        <f t="shared" si="2"/>
        <v/>
      </c>
      <c r="L40" s="215"/>
      <c r="M40" s="205"/>
      <c r="N40" s="205"/>
      <c r="O40" s="206"/>
      <c r="W40" s="174"/>
    </row>
    <row r="41" spans="1:23" s="4" customFormat="1" ht="12" customHeight="1" x14ac:dyDescent="0.3">
      <c r="A41" s="246"/>
      <c r="B41" s="197"/>
      <c r="C41" s="470"/>
      <c r="D41" s="195"/>
      <c r="E41" s="196"/>
      <c r="F41" s="195"/>
      <c r="G41" s="197"/>
      <c r="H41" s="198" t="str">
        <f>IF(C41&gt;0,SUMIF('Final Budget'!A$9:A$46,C41,'Final Budget'!C$9:C$46)-SUMIF(C$16:C40,C41,I$16:I83),"")</f>
        <v/>
      </c>
      <c r="I41" s="210">
        <v>0</v>
      </c>
      <c r="J41" s="198" t="str">
        <f t="shared" si="0"/>
        <v/>
      </c>
      <c r="K41" s="221" t="str">
        <f t="shared" si="2"/>
        <v/>
      </c>
      <c r="L41" s="215"/>
      <c r="M41" s="205"/>
      <c r="N41" s="205"/>
      <c r="O41" s="206"/>
      <c r="W41" s="174"/>
    </row>
    <row r="42" spans="1:23" s="4" customFormat="1" ht="12" customHeight="1" x14ac:dyDescent="0.3">
      <c r="A42" s="246"/>
      <c r="B42" s="197"/>
      <c r="C42" s="470"/>
      <c r="D42" s="195"/>
      <c r="E42" s="196"/>
      <c r="F42" s="195"/>
      <c r="G42" s="197"/>
      <c r="H42" s="198" t="str">
        <f>IF(C42&gt;0,SUMIF('Final Budget'!A$9:A$46,C42,'Final Budget'!C$9:C$46)-SUMIF(C$16:C41,C42,I$16:I84),"")</f>
        <v/>
      </c>
      <c r="I42" s="210">
        <v>0</v>
      </c>
      <c r="J42" s="198" t="str">
        <f t="shared" si="0"/>
        <v/>
      </c>
      <c r="K42" s="221" t="str">
        <f t="shared" si="2"/>
        <v/>
      </c>
      <c r="L42" s="215"/>
      <c r="M42" s="205"/>
      <c r="N42" s="205"/>
      <c r="O42" s="206"/>
      <c r="W42" s="174"/>
    </row>
    <row r="43" spans="1:23" s="4" customFormat="1" ht="12" customHeight="1" x14ac:dyDescent="0.3">
      <c r="A43" s="246"/>
      <c r="B43" s="197"/>
      <c r="C43" s="470"/>
      <c r="D43" s="195"/>
      <c r="E43" s="196"/>
      <c r="F43" s="195"/>
      <c r="G43" s="197"/>
      <c r="H43" s="198" t="str">
        <f>IF(C43&gt;0,SUMIF('Final Budget'!A$9:A$46,C43,'Final Budget'!C$9:C$46)-SUMIF(C$16:C42,C43,I$16:I85),"")</f>
        <v/>
      </c>
      <c r="I43" s="210">
        <v>0</v>
      </c>
      <c r="J43" s="198" t="str">
        <f t="shared" si="0"/>
        <v/>
      </c>
      <c r="K43" s="221" t="str">
        <f t="shared" si="2"/>
        <v/>
      </c>
      <c r="L43" s="215"/>
      <c r="M43" s="205"/>
      <c r="N43" s="205"/>
      <c r="O43" s="206"/>
      <c r="W43" s="174"/>
    </row>
    <row r="44" spans="1:23" s="4" customFormat="1" ht="12" customHeight="1" x14ac:dyDescent="0.3">
      <c r="A44" s="246"/>
      <c r="B44" s="197"/>
      <c r="C44" s="470"/>
      <c r="D44" s="195"/>
      <c r="E44" s="196"/>
      <c r="F44" s="195"/>
      <c r="G44" s="197"/>
      <c r="H44" s="198" t="str">
        <f>IF(C44&gt;0,SUMIF('Final Budget'!A$9:A$46,C44,'Final Budget'!C$9:C$46)-SUMIF(C$16:C43,C44,I$16:I86),"")</f>
        <v/>
      </c>
      <c r="I44" s="210">
        <v>0</v>
      </c>
      <c r="J44" s="198" t="str">
        <f t="shared" si="0"/>
        <v/>
      </c>
      <c r="K44" s="221" t="str">
        <f t="shared" ref="K44:K61" si="3">IF(AND(I44&gt;0,J44&gt;0),I44-J44,"")</f>
        <v/>
      </c>
      <c r="L44" s="215"/>
      <c r="M44" s="205"/>
      <c r="N44" s="205"/>
      <c r="O44" s="206"/>
      <c r="W44" s="174"/>
    </row>
    <row r="45" spans="1:23" s="4" customFormat="1" ht="12" customHeight="1" x14ac:dyDescent="0.3">
      <c r="A45" s="246"/>
      <c r="B45" s="197"/>
      <c r="C45" s="470"/>
      <c r="D45" s="195"/>
      <c r="E45" s="196"/>
      <c r="F45" s="195"/>
      <c r="G45" s="197"/>
      <c r="H45" s="198" t="str">
        <f>IF(C45&gt;0,SUMIF('Final Budget'!A$9:A$46,C45,'Final Budget'!C$9:C$46)-SUMIF(C$16:C44,C45,I$16:I87),"")</f>
        <v/>
      </c>
      <c r="I45" s="210">
        <v>0</v>
      </c>
      <c r="J45" s="198" t="str">
        <f t="shared" si="0"/>
        <v/>
      </c>
      <c r="K45" s="221" t="str">
        <f t="shared" si="3"/>
        <v/>
      </c>
      <c r="L45" s="215"/>
      <c r="M45" s="205"/>
      <c r="N45" s="205"/>
      <c r="O45" s="206"/>
      <c r="W45" s="174"/>
    </row>
    <row r="46" spans="1:23" s="4" customFormat="1" ht="12" customHeight="1" x14ac:dyDescent="0.3">
      <c r="A46" s="246"/>
      <c r="B46" s="197"/>
      <c r="C46" s="470"/>
      <c r="D46" s="195"/>
      <c r="E46" s="196"/>
      <c r="F46" s="195"/>
      <c r="G46" s="197"/>
      <c r="H46" s="198" t="str">
        <f>IF(C46&gt;0,SUMIF('Final Budget'!A$9:A$46,C46,'Final Budget'!C$9:C$46)-SUMIF(C$16:C45,C46,I$16:I88),"")</f>
        <v/>
      </c>
      <c r="I46" s="210">
        <v>0</v>
      </c>
      <c r="J46" s="198" t="str">
        <f t="shared" si="0"/>
        <v/>
      </c>
      <c r="K46" s="221" t="str">
        <f t="shared" si="3"/>
        <v/>
      </c>
      <c r="L46" s="215"/>
      <c r="M46" s="205"/>
      <c r="N46" s="205"/>
      <c r="O46" s="206"/>
      <c r="W46" s="174"/>
    </row>
    <row r="47" spans="1:23" s="4" customFormat="1" ht="12" customHeight="1" x14ac:dyDescent="0.3">
      <c r="A47" s="246"/>
      <c r="B47" s="197"/>
      <c r="C47" s="470"/>
      <c r="D47" s="195"/>
      <c r="E47" s="196"/>
      <c r="F47" s="195"/>
      <c r="G47" s="197"/>
      <c r="H47" s="198" t="str">
        <f>IF(C47&gt;0,SUMIF('Final Budget'!A$9:A$46,C47,'Final Budget'!C$9:C$46)-SUMIF(C$16:C46,C47,I$16:I89),"")</f>
        <v/>
      </c>
      <c r="I47" s="210">
        <v>0</v>
      </c>
      <c r="J47" s="198" t="str">
        <f t="shared" si="0"/>
        <v/>
      </c>
      <c r="K47" s="221" t="str">
        <f t="shared" si="3"/>
        <v/>
      </c>
      <c r="L47" s="215"/>
      <c r="M47" s="205"/>
      <c r="N47" s="205"/>
      <c r="O47" s="206"/>
      <c r="W47" s="174"/>
    </row>
    <row r="48" spans="1:23" s="4" customFormat="1" ht="12" customHeight="1" x14ac:dyDescent="0.3">
      <c r="A48" s="246"/>
      <c r="B48" s="197"/>
      <c r="C48" s="470"/>
      <c r="D48" s="195"/>
      <c r="E48" s="196"/>
      <c r="F48" s="195"/>
      <c r="G48" s="197"/>
      <c r="H48" s="198" t="str">
        <f>IF(C48&gt;0,SUMIF('Final Budget'!A$9:A$46,C48,'Final Budget'!C$9:C$46)-SUMIF(C$16:C47,C48,I$16:I90),"")</f>
        <v/>
      </c>
      <c r="I48" s="210">
        <v>0</v>
      </c>
      <c r="J48" s="198" t="str">
        <f t="shared" si="0"/>
        <v/>
      </c>
      <c r="K48" s="221" t="str">
        <f t="shared" si="3"/>
        <v/>
      </c>
      <c r="L48" s="215"/>
      <c r="M48" s="205"/>
      <c r="N48" s="205"/>
      <c r="O48" s="206"/>
      <c r="W48" s="174"/>
    </row>
    <row r="49" spans="1:23" s="4" customFormat="1" ht="12" customHeight="1" x14ac:dyDescent="0.3">
      <c r="A49" s="246"/>
      <c r="B49" s="197"/>
      <c r="C49" s="470"/>
      <c r="D49" s="195"/>
      <c r="E49" s="196"/>
      <c r="F49" s="195"/>
      <c r="G49" s="197"/>
      <c r="H49" s="198" t="str">
        <f>IF(C49&gt;0,SUMIF('Final Budget'!A$9:A$46,C49,'Final Budget'!C$9:C$46)-SUMIF(C$16:C48,C49,I$16:I91),"")</f>
        <v/>
      </c>
      <c r="I49" s="210">
        <v>0</v>
      </c>
      <c r="J49" s="198" t="str">
        <f t="shared" si="0"/>
        <v/>
      </c>
      <c r="K49" s="221" t="str">
        <f t="shared" si="3"/>
        <v/>
      </c>
      <c r="L49" s="215"/>
      <c r="M49" s="205"/>
      <c r="N49" s="205"/>
      <c r="O49" s="206"/>
      <c r="W49" s="174"/>
    </row>
    <row r="50" spans="1:23" s="4" customFormat="1" ht="12" customHeight="1" x14ac:dyDescent="0.3">
      <c r="A50" s="246"/>
      <c r="B50" s="197"/>
      <c r="C50" s="470"/>
      <c r="D50" s="195"/>
      <c r="E50" s="196"/>
      <c r="F50" s="195"/>
      <c r="G50" s="197"/>
      <c r="H50" s="198" t="str">
        <f>IF(C50&gt;0,SUMIF('Final Budget'!A$9:A$46,C50,'Final Budget'!C$9:C$46)-SUMIF(C$16:C49,C50,I$16:I92),"")</f>
        <v/>
      </c>
      <c r="I50" s="210">
        <v>0</v>
      </c>
      <c r="J50" s="198" t="str">
        <f t="shared" si="0"/>
        <v/>
      </c>
      <c r="K50" s="221" t="str">
        <f t="shared" si="3"/>
        <v/>
      </c>
      <c r="L50" s="215"/>
      <c r="M50" s="205"/>
      <c r="N50" s="205"/>
      <c r="O50" s="206"/>
      <c r="W50" s="174"/>
    </row>
    <row r="51" spans="1:23" s="4" customFormat="1" ht="12" customHeight="1" x14ac:dyDescent="0.3">
      <c r="A51" s="246"/>
      <c r="B51" s="197"/>
      <c r="C51" s="470"/>
      <c r="D51" s="195"/>
      <c r="E51" s="196"/>
      <c r="F51" s="195"/>
      <c r="G51" s="197"/>
      <c r="H51" s="198" t="str">
        <f>IF(C51&gt;0,SUMIF('Final Budget'!A$9:A$46,C51,'Final Budget'!C$9:C$46)-SUMIF(C$16:C50,C51,I$16:I93),"")</f>
        <v/>
      </c>
      <c r="I51" s="210">
        <v>0</v>
      </c>
      <c r="J51" s="198" t="str">
        <f t="shared" si="0"/>
        <v/>
      </c>
      <c r="K51" s="221" t="str">
        <f t="shared" si="3"/>
        <v/>
      </c>
      <c r="L51" s="215"/>
      <c r="M51" s="205"/>
      <c r="N51" s="205"/>
      <c r="O51" s="206"/>
      <c r="W51" s="174"/>
    </row>
    <row r="52" spans="1:23" s="4" customFormat="1" ht="12" customHeight="1" x14ac:dyDescent="0.3">
      <c r="A52" s="246"/>
      <c r="B52" s="197"/>
      <c r="C52" s="470"/>
      <c r="D52" s="195"/>
      <c r="E52" s="196"/>
      <c r="F52" s="195"/>
      <c r="G52" s="197"/>
      <c r="H52" s="198" t="str">
        <f>IF(C52&gt;0,SUMIF('Final Budget'!A$9:A$46,C52,'Final Budget'!C$9:C$46)-SUMIF(C$16:C51,C52,I$16:I94),"")</f>
        <v/>
      </c>
      <c r="I52" s="210">
        <v>0</v>
      </c>
      <c r="J52" s="198" t="str">
        <f t="shared" si="0"/>
        <v/>
      </c>
      <c r="K52" s="221" t="str">
        <f t="shared" si="3"/>
        <v/>
      </c>
      <c r="L52" s="215"/>
      <c r="M52" s="205"/>
      <c r="N52" s="205"/>
      <c r="O52" s="206"/>
      <c r="W52" s="174"/>
    </row>
    <row r="53" spans="1:23" s="4" customFormat="1" ht="12" customHeight="1" x14ac:dyDescent="0.3">
      <c r="A53" s="246"/>
      <c r="B53" s="197"/>
      <c r="C53" s="470"/>
      <c r="D53" s="195"/>
      <c r="E53" s="196"/>
      <c r="F53" s="195"/>
      <c r="G53" s="197"/>
      <c r="H53" s="198" t="str">
        <f>IF(C53&gt;0,SUMIF('Final Budget'!A$9:A$46,C53,'Final Budget'!C$9:C$46)-SUMIF(C$16:C52,C53,I$16:I95),"")</f>
        <v/>
      </c>
      <c r="I53" s="210">
        <v>0</v>
      </c>
      <c r="J53" s="198" t="str">
        <f t="shared" si="0"/>
        <v/>
      </c>
      <c r="K53" s="221" t="str">
        <f t="shared" si="3"/>
        <v/>
      </c>
      <c r="L53" s="215"/>
      <c r="M53" s="205"/>
      <c r="N53" s="205"/>
      <c r="O53" s="206"/>
      <c r="W53" s="174"/>
    </row>
    <row r="54" spans="1:23" s="4" customFormat="1" ht="12" customHeight="1" x14ac:dyDescent="0.3">
      <c r="A54" s="246"/>
      <c r="B54" s="197"/>
      <c r="C54" s="470"/>
      <c r="D54" s="195"/>
      <c r="E54" s="196"/>
      <c r="F54" s="195"/>
      <c r="G54" s="197"/>
      <c r="H54" s="198" t="str">
        <f>IF(C54&gt;0,SUMIF('Final Budget'!A$9:A$46,C54,'Final Budget'!C$9:C$46)-SUMIF(C$16:C48,C54,I$16:I116),"")</f>
        <v/>
      </c>
      <c r="I54" s="210">
        <v>0</v>
      </c>
      <c r="J54" s="198" t="str">
        <f t="shared" si="0"/>
        <v/>
      </c>
      <c r="K54" s="221" t="str">
        <f t="shared" si="3"/>
        <v/>
      </c>
      <c r="L54" s="215"/>
      <c r="M54" s="205"/>
      <c r="N54" s="205"/>
      <c r="O54" s="211"/>
      <c r="W54" s="174"/>
    </row>
    <row r="55" spans="1:23" s="4" customFormat="1" ht="12" customHeight="1" x14ac:dyDescent="0.3">
      <c r="A55" s="246"/>
      <c r="B55" s="197"/>
      <c r="C55" s="470"/>
      <c r="D55" s="195"/>
      <c r="E55" s="196"/>
      <c r="F55" s="195"/>
      <c r="G55" s="197"/>
      <c r="H55" s="198" t="str">
        <f>IF(C55&gt;0,SUMIF('Final Budget'!A$9:A$46,C55,'Final Budget'!C$9:C$46)-SUMIF(C$16:C54,C55,I$16:I121),"")</f>
        <v/>
      </c>
      <c r="I55" s="210">
        <v>0</v>
      </c>
      <c r="J55" s="198" t="str">
        <f t="shared" si="0"/>
        <v/>
      </c>
      <c r="K55" s="221" t="str">
        <f t="shared" si="3"/>
        <v/>
      </c>
      <c r="L55" s="215"/>
      <c r="M55" s="205"/>
      <c r="N55" s="205"/>
      <c r="O55" s="211"/>
      <c r="W55" s="174"/>
    </row>
    <row r="56" spans="1:23" s="4" customFormat="1" ht="12" customHeight="1" x14ac:dyDescent="0.3">
      <c r="A56" s="246"/>
      <c r="B56" s="197"/>
      <c r="C56" s="470"/>
      <c r="D56" s="195"/>
      <c r="E56" s="196"/>
      <c r="F56" s="195"/>
      <c r="G56" s="197"/>
      <c r="H56" s="198" t="str">
        <f>IF(C56&gt;0,SUMIF('Final Budget'!A$9:A$46,C56,'Final Budget'!C$9:C$46)-SUMIF(C$16:C44,C56,I$16:I87),"")</f>
        <v/>
      </c>
      <c r="I56" s="210">
        <v>0</v>
      </c>
      <c r="J56" s="198" t="str">
        <f t="shared" si="0"/>
        <v/>
      </c>
      <c r="K56" s="221" t="str">
        <f t="shared" si="3"/>
        <v/>
      </c>
      <c r="L56" s="215"/>
      <c r="M56" s="205"/>
      <c r="N56" s="205"/>
      <c r="O56" s="206"/>
      <c r="W56" s="174"/>
    </row>
    <row r="57" spans="1:23" s="4" customFormat="1" ht="12" customHeight="1" x14ac:dyDescent="0.3">
      <c r="A57" s="246"/>
      <c r="B57" s="197"/>
      <c r="C57" s="470"/>
      <c r="D57" s="195"/>
      <c r="E57" s="196"/>
      <c r="F57" s="195"/>
      <c r="G57" s="197"/>
      <c r="H57" s="198" t="str">
        <f>IF(C57&gt;0,SUMIF('Final Budget'!A$9:A$46,C57,'Final Budget'!C$9:C$46)-SUMIF(C$16:C56,C57,I$16:I88),"")</f>
        <v/>
      </c>
      <c r="I57" s="210">
        <v>0</v>
      </c>
      <c r="J57" s="198" t="str">
        <f t="shared" si="0"/>
        <v/>
      </c>
      <c r="K57" s="221" t="str">
        <f t="shared" si="3"/>
        <v/>
      </c>
      <c r="L57" s="215"/>
      <c r="M57" s="205"/>
      <c r="N57" s="205"/>
      <c r="O57" s="206"/>
      <c r="W57" s="174"/>
    </row>
    <row r="58" spans="1:23" s="4" customFormat="1" ht="12" customHeight="1" x14ac:dyDescent="0.3">
      <c r="A58" s="246"/>
      <c r="B58" s="197"/>
      <c r="C58" s="470"/>
      <c r="D58" s="195"/>
      <c r="E58" s="196"/>
      <c r="F58" s="195"/>
      <c r="G58" s="197"/>
      <c r="H58" s="198" t="str">
        <f>IF(C58&gt;0,SUMIF('Final Budget'!A$9:A$46,C58,'Final Budget'!C$9:C$46)-SUMIF(C$16:C57,C58,I$16:I89),"")</f>
        <v/>
      </c>
      <c r="I58" s="210">
        <v>0</v>
      </c>
      <c r="J58" s="198" t="str">
        <f t="shared" si="0"/>
        <v/>
      </c>
      <c r="K58" s="221" t="str">
        <f t="shared" si="3"/>
        <v/>
      </c>
      <c r="L58" s="215"/>
      <c r="M58" s="205"/>
      <c r="N58" s="205"/>
      <c r="O58" s="206"/>
      <c r="W58" s="174"/>
    </row>
    <row r="59" spans="1:23" s="4" customFormat="1" ht="12" customHeight="1" x14ac:dyDescent="0.3">
      <c r="A59" s="246"/>
      <c r="B59" s="197"/>
      <c r="C59" s="470"/>
      <c r="D59" s="195"/>
      <c r="E59" s="196"/>
      <c r="F59" s="195"/>
      <c r="G59" s="197"/>
      <c r="H59" s="198" t="str">
        <f>IF(C59&gt;0,SUMIF('Final Budget'!A$9:A$46,C59,'Final Budget'!C$9:C$46)-SUMIF(C$16:C58,C59,I$16:I90),"")</f>
        <v/>
      </c>
      <c r="I59" s="210">
        <v>0</v>
      </c>
      <c r="J59" s="198" t="str">
        <f t="shared" si="0"/>
        <v/>
      </c>
      <c r="K59" s="221" t="str">
        <f t="shared" si="3"/>
        <v/>
      </c>
      <c r="L59" s="215"/>
      <c r="M59" s="205"/>
      <c r="N59" s="205"/>
      <c r="O59" s="206"/>
      <c r="W59" s="174"/>
    </row>
    <row r="60" spans="1:23" s="4" customFormat="1" ht="12" customHeight="1" x14ac:dyDescent="0.3">
      <c r="A60" s="246"/>
      <c r="B60" s="197"/>
      <c r="C60" s="470"/>
      <c r="D60" s="195"/>
      <c r="E60" s="196"/>
      <c r="F60" s="195"/>
      <c r="G60" s="197"/>
      <c r="H60" s="198" t="str">
        <f>IF(C60&gt;0,SUMIF('Final Budget'!A$9:A$46,C60,'Final Budget'!C$9:C$46)-SUMIF(C$16:C43,C60,I$16:I111),"")</f>
        <v/>
      </c>
      <c r="I60" s="210">
        <v>0</v>
      </c>
      <c r="J60" s="198" t="str">
        <f t="shared" si="0"/>
        <v/>
      </c>
      <c r="K60" s="221" t="str">
        <f t="shared" si="3"/>
        <v/>
      </c>
      <c r="L60" s="215"/>
      <c r="M60" s="205"/>
      <c r="N60" s="205"/>
      <c r="O60" s="211"/>
      <c r="W60" s="174"/>
    </row>
    <row r="61" spans="1:23" s="4" customFormat="1" ht="12" customHeight="1" x14ac:dyDescent="0.3">
      <c r="A61" s="247"/>
      <c r="B61" s="201"/>
      <c r="C61" s="471"/>
      <c r="D61" s="199"/>
      <c r="E61" s="200"/>
      <c r="F61" s="199"/>
      <c r="G61" s="201"/>
      <c r="H61" s="202" t="str">
        <f>IF(C61&gt;0,SUMIF('Final Budget'!A$9:A$46,C61,'Final Budget'!C$9:C$46)-SUMIF(C$16:C60,C61,I$16:I116),"")</f>
        <v/>
      </c>
      <c r="I61" s="212">
        <v>0</v>
      </c>
      <c r="J61" s="198" t="str">
        <f t="shared" si="0"/>
        <v/>
      </c>
      <c r="K61" s="222" t="str">
        <f t="shared" si="3"/>
        <v/>
      </c>
      <c r="L61" s="216"/>
      <c r="M61" s="207"/>
      <c r="N61" s="207"/>
      <c r="O61" s="213"/>
      <c r="W61" s="174"/>
    </row>
    <row r="62" spans="1:23" s="4" customFormat="1" ht="16.25" customHeight="1" thickBot="1" x14ac:dyDescent="0.35">
      <c r="A62" s="238"/>
      <c r="B62" s="239"/>
      <c r="C62" s="240"/>
      <c r="D62" s="241"/>
      <c r="E62" s="242"/>
      <c r="F62" s="241"/>
      <c r="G62" s="239"/>
      <c r="H62" s="243"/>
      <c r="I62" s="107">
        <f>+SUM(I17:I61)</f>
        <v>0</v>
      </c>
      <c r="J62" s="108">
        <f>+SUM(J17:J61)</f>
        <v>0</v>
      </c>
      <c r="K62" s="223">
        <f>+SUM(K17:K61)</f>
        <v>0</v>
      </c>
      <c r="L62" s="240"/>
      <c r="M62" s="240"/>
      <c r="N62" s="240"/>
      <c r="O62" s="244"/>
      <c r="W62" s="174"/>
    </row>
    <row r="63" spans="1:23" s="4" customFormat="1" x14ac:dyDescent="0.35">
      <c r="A63" s="94"/>
      <c r="B63" s="96"/>
      <c r="D63" s="163" t="s">
        <v>121</v>
      </c>
      <c r="F63" s="94"/>
      <c r="G63" s="96"/>
      <c r="H63" s="5"/>
      <c r="I63" s="5"/>
      <c r="J63" s="5"/>
      <c r="O63" s="5"/>
      <c r="W63" s="174"/>
    </row>
    <row r="64" spans="1:23" s="4" customFormat="1" ht="12" x14ac:dyDescent="0.3">
      <c r="A64" s="94"/>
      <c r="B64" s="96"/>
      <c r="D64" s="94"/>
      <c r="F64" s="94"/>
      <c r="G64" s="96"/>
      <c r="H64" s="5"/>
      <c r="I64" s="5"/>
      <c r="J64" s="5"/>
      <c r="O64" s="5"/>
      <c r="W64" s="174"/>
    </row>
    <row r="65" spans="1:23" s="4" customFormat="1" ht="12" hidden="1" x14ac:dyDescent="0.3">
      <c r="A65" s="94"/>
      <c r="B65" s="94"/>
      <c r="D65" s="94"/>
      <c r="F65" s="94"/>
      <c r="G65" s="96"/>
      <c r="H65" s="5"/>
      <c r="I65" s="5"/>
      <c r="J65" s="5"/>
      <c r="O65" s="5"/>
      <c r="W65" s="174"/>
    </row>
    <row r="66" spans="1:23" s="4" customFormat="1" ht="12" hidden="1" x14ac:dyDescent="0.3">
      <c r="A66" s="94"/>
      <c r="B66" s="94"/>
      <c r="D66" s="94"/>
      <c r="F66" s="94"/>
      <c r="G66" s="96"/>
      <c r="H66" s="5"/>
      <c r="I66" s="5"/>
      <c r="J66" s="5"/>
      <c r="W66" s="174"/>
    </row>
    <row r="67" spans="1:23" s="4" customFormat="1" ht="12" hidden="1" x14ac:dyDescent="0.3">
      <c r="A67" s="94"/>
      <c r="B67" s="94"/>
      <c r="D67" s="94"/>
      <c r="F67" s="94"/>
      <c r="G67" s="96"/>
      <c r="H67" s="5"/>
      <c r="I67" s="5"/>
      <c r="J67" s="5"/>
      <c r="W67" s="174"/>
    </row>
    <row r="68" spans="1:23" s="4" customFormat="1" ht="12" hidden="1" x14ac:dyDescent="0.3">
      <c r="A68" s="94"/>
      <c r="B68" s="94"/>
      <c r="D68" s="94"/>
      <c r="F68" s="94"/>
      <c r="G68" s="96"/>
      <c r="H68" s="5"/>
      <c r="I68" s="5"/>
      <c r="J68" s="5"/>
      <c r="W68" s="174"/>
    </row>
    <row r="69" spans="1:23" s="4" customFormat="1" ht="12" hidden="1" x14ac:dyDescent="0.3">
      <c r="A69" s="94"/>
      <c r="B69" s="94"/>
      <c r="D69" s="94"/>
      <c r="F69" s="94"/>
      <c r="G69" s="96"/>
      <c r="H69" s="5"/>
      <c r="I69" s="5"/>
      <c r="J69" s="5"/>
      <c r="W69" s="174"/>
    </row>
    <row r="70" spans="1:23" s="4" customFormat="1" ht="12" hidden="1" x14ac:dyDescent="0.3">
      <c r="A70" s="94"/>
      <c r="B70" s="94"/>
      <c r="D70" s="94"/>
      <c r="F70" s="94"/>
      <c r="G70" s="96"/>
      <c r="H70" s="5"/>
      <c r="I70" s="5"/>
      <c r="J70" s="5"/>
      <c r="W70" s="174"/>
    </row>
    <row r="71" spans="1:23" s="4" customFormat="1" ht="12" hidden="1" x14ac:dyDescent="0.3">
      <c r="A71" s="94"/>
      <c r="B71" s="94"/>
      <c r="D71" s="94"/>
      <c r="F71" s="94"/>
      <c r="G71" s="96"/>
      <c r="H71" s="5"/>
      <c r="I71" s="5"/>
      <c r="J71" s="5"/>
      <c r="W71" s="174"/>
    </row>
    <row r="72" spans="1:23" s="4" customFormat="1" ht="12" hidden="1" x14ac:dyDescent="0.3">
      <c r="A72" s="94"/>
      <c r="B72" s="94"/>
      <c r="D72" s="94"/>
      <c r="F72" s="94"/>
      <c r="G72" s="96"/>
      <c r="H72" s="5"/>
      <c r="I72" s="5"/>
      <c r="J72" s="5"/>
      <c r="W72" s="174"/>
    </row>
    <row r="73" spans="1:23" s="4" customFormat="1" ht="12" hidden="1" x14ac:dyDescent="0.3">
      <c r="A73" s="94"/>
      <c r="B73" s="94"/>
      <c r="D73" s="94"/>
      <c r="F73" s="94"/>
      <c r="G73" s="96"/>
      <c r="H73" s="5"/>
      <c r="I73" s="5"/>
      <c r="J73" s="5"/>
      <c r="W73" s="174"/>
    </row>
    <row r="74" spans="1:23" s="4" customFormat="1" ht="12" hidden="1" x14ac:dyDescent="0.3">
      <c r="A74" s="94"/>
      <c r="B74" s="94"/>
      <c r="D74" s="94"/>
      <c r="F74" s="94"/>
      <c r="G74" s="96"/>
      <c r="H74" s="5"/>
      <c r="I74" s="5"/>
      <c r="J74" s="5"/>
      <c r="W74" s="174"/>
    </row>
    <row r="75" spans="1:23" s="4" customFormat="1" ht="12" hidden="1" x14ac:dyDescent="0.3">
      <c r="A75" s="94"/>
      <c r="B75" s="94"/>
      <c r="D75" s="94"/>
      <c r="F75" s="94"/>
      <c r="G75" s="96"/>
      <c r="H75" s="5"/>
      <c r="I75" s="5"/>
      <c r="J75" s="5"/>
      <c r="W75" s="174"/>
    </row>
    <row r="76" spans="1:23" s="4" customFormat="1" ht="12" hidden="1" x14ac:dyDescent="0.3">
      <c r="A76" s="94"/>
      <c r="B76" s="94"/>
      <c r="D76" s="94"/>
      <c r="F76" s="94"/>
      <c r="G76" s="96"/>
      <c r="H76" s="5"/>
      <c r="I76" s="5"/>
      <c r="J76" s="5"/>
      <c r="W76" s="174"/>
    </row>
    <row r="77" spans="1:23" s="4" customFormat="1" ht="12" hidden="1" x14ac:dyDescent="0.3">
      <c r="A77" s="94"/>
      <c r="B77" s="94"/>
      <c r="D77" s="94"/>
      <c r="F77" s="94"/>
      <c r="G77" s="96"/>
      <c r="H77" s="5"/>
      <c r="I77" s="5"/>
      <c r="J77" s="5"/>
      <c r="W77" s="174"/>
    </row>
    <row r="78" spans="1:23" s="4" customFormat="1" ht="12" hidden="1" x14ac:dyDescent="0.3">
      <c r="A78" s="94"/>
      <c r="B78" s="94"/>
      <c r="D78" s="94"/>
      <c r="F78" s="94"/>
      <c r="G78" s="96"/>
      <c r="H78" s="5"/>
      <c r="I78" s="5"/>
      <c r="J78" s="5"/>
      <c r="W78" s="174"/>
    </row>
    <row r="79" spans="1:23" s="4" customFormat="1" ht="12" hidden="1" x14ac:dyDescent="0.3">
      <c r="A79" s="94"/>
      <c r="B79" s="94"/>
      <c r="D79" s="94"/>
      <c r="F79" s="94"/>
      <c r="G79" s="96"/>
      <c r="H79" s="5"/>
      <c r="I79" s="5"/>
      <c r="J79" s="5"/>
      <c r="W79" s="174"/>
    </row>
    <row r="80" spans="1:23" s="4" customFormat="1" ht="12" hidden="1" x14ac:dyDescent="0.3">
      <c r="A80" s="94"/>
      <c r="B80" s="94"/>
      <c r="D80" s="94"/>
      <c r="F80" s="94"/>
      <c r="G80" s="96"/>
      <c r="H80" s="5"/>
      <c r="I80" s="5"/>
      <c r="J80" s="5"/>
      <c r="W80" s="174"/>
    </row>
    <row r="81" spans="1:23" s="4" customFormat="1" ht="12" hidden="1" x14ac:dyDescent="0.3">
      <c r="A81" s="94"/>
      <c r="B81" s="94"/>
      <c r="D81" s="94"/>
      <c r="F81" s="94"/>
      <c r="G81" s="96"/>
      <c r="H81" s="5"/>
      <c r="I81" s="5"/>
      <c r="J81" s="5"/>
      <c r="W81" s="174"/>
    </row>
    <row r="82" spans="1:23" s="4" customFormat="1" ht="12" hidden="1" x14ac:dyDescent="0.3">
      <c r="A82" s="94"/>
      <c r="B82" s="94"/>
      <c r="D82" s="94"/>
      <c r="F82" s="94"/>
      <c r="G82" s="96"/>
      <c r="H82" s="5"/>
      <c r="I82" s="5"/>
      <c r="J82" s="5"/>
      <c r="W82" s="174"/>
    </row>
    <row r="83" spans="1:23" s="4" customFormat="1" ht="12" hidden="1" x14ac:dyDescent="0.3">
      <c r="A83" s="94"/>
      <c r="B83" s="94"/>
      <c r="D83" s="94"/>
      <c r="F83" s="94"/>
      <c r="G83" s="96"/>
      <c r="H83" s="5"/>
      <c r="I83" s="5"/>
      <c r="J83" s="5"/>
      <c r="W83" s="174"/>
    </row>
    <row r="84" spans="1:23" s="4" customFormat="1" ht="12" hidden="1" x14ac:dyDescent="0.3">
      <c r="A84" s="94"/>
      <c r="B84" s="94"/>
      <c r="D84" s="94"/>
      <c r="F84" s="94"/>
      <c r="G84" s="96"/>
      <c r="H84" s="5"/>
      <c r="I84" s="5"/>
      <c r="J84" s="5"/>
      <c r="W84" s="174"/>
    </row>
    <row r="85" spans="1:23" s="4" customFormat="1" ht="12" hidden="1" x14ac:dyDescent="0.3">
      <c r="A85" s="94"/>
      <c r="B85" s="94"/>
      <c r="D85" s="94"/>
      <c r="F85" s="94"/>
      <c r="G85" s="96"/>
      <c r="H85" s="5"/>
      <c r="I85" s="5"/>
      <c r="J85" s="5"/>
      <c r="W85" s="174"/>
    </row>
    <row r="86" spans="1:23" s="4" customFormat="1" ht="12" hidden="1" x14ac:dyDescent="0.3">
      <c r="A86" s="94"/>
      <c r="B86" s="94"/>
      <c r="D86" s="94"/>
      <c r="F86" s="94"/>
      <c r="G86" s="96"/>
      <c r="H86" s="5"/>
      <c r="I86" s="5"/>
      <c r="J86" s="5"/>
      <c r="W86" s="174"/>
    </row>
    <row r="87" spans="1:23" s="4" customFormat="1" ht="12" hidden="1" x14ac:dyDescent="0.3">
      <c r="A87" s="94"/>
      <c r="B87" s="94"/>
      <c r="D87" s="94"/>
      <c r="F87" s="94"/>
      <c r="G87" s="96"/>
      <c r="H87" s="5"/>
      <c r="I87" s="5"/>
      <c r="J87" s="5"/>
      <c r="W87" s="174"/>
    </row>
    <row r="88" spans="1:23" s="4" customFormat="1" ht="12" hidden="1" x14ac:dyDescent="0.3">
      <c r="A88" s="94"/>
      <c r="B88" s="94"/>
      <c r="D88" s="94"/>
      <c r="F88" s="94"/>
      <c r="G88" s="96"/>
      <c r="H88" s="5"/>
      <c r="I88" s="5"/>
      <c r="J88" s="5"/>
      <c r="W88" s="174"/>
    </row>
    <row r="89" spans="1:23" s="4" customFormat="1" ht="12" hidden="1" x14ac:dyDescent="0.3">
      <c r="A89" s="94"/>
      <c r="B89" s="94"/>
      <c r="D89" s="94"/>
      <c r="F89" s="94"/>
      <c r="G89" s="96"/>
      <c r="H89" s="5"/>
      <c r="I89" s="5"/>
      <c r="J89" s="5"/>
      <c r="W89" s="174"/>
    </row>
    <row r="90" spans="1:23" s="4" customFormat="1" ht="12" hidden="1" x14ac:dyDescent="0.3">
      <c r="A90" s="94"/>
      <c r="B90" s="94"/>
      <c r="D90" s="94"/>
      <c r="F90" s="94"/>
      <c r="G90" s="96"/>
      <c r="H90" s="5"/>
      <c r="I90" s="5"/>
      <c r="J90" s="5"/>
      <c r="W90" s="174"/>
    </row>
    <row r="91" spans="1:23" s="4" customFormat="1" ht="12" hidden="1" x14ac:dyDescent="0.3">
      <c r="A91" s="94"/>
      <c r="B91" s="94"/>
      <c r="D91" s="94"/>
      <c r="F91" s="94"/>
      <c r="G91" s="96"/>
      <c r="H91" s="5"/>
      <c r="I91" s="5"/>
      <c r="J91" s="5"/>
      <c r="W91" s="174"/>
    </row>
    <row r="92" spans="1:23" s="4" customFormat="1" ht="12" hidden="1" x14ac:dyDescent="0.3">
      <c r="A92" s="94"/>
      <c r="B92" s="94"/>
      <c r="D92" s="94"/>
      <c r="F92" s="94"/>
      <c r="G92" s="96"/>
      <c r="H92" s="5"/>
      <c r="I92" s="5"/>
      <c r="J92" s="5"/>
      <c r="W92" s="174"/>
    </row>
    <row r="93" spans="1:23" s="4" customFormat="1" ht="12" hidden="1" x14ac:dyDescent="0.3">
      <c r="A93" s="94"/>
      <c r="B93" s="94"/>
      <c r="D93" s="94"/>
      <c r="F93" s="94"/>
      <c r="G93" s="96"/>
      <c r="H93" s="5"/>
      <c r="I93" s="5"/>
      <c r="J93" s="5"/>
      <c r="W93" s="174"/>
    </row>
    <row r="94" spans="1:23" s="4" customFormat="1" ht="12" hidden="1" x14ac:dyDescent="0.3">
      <c r="A94" s="94"/>
      <c r="B94" s="94"/>
      <c r="D94" s="94"/>
      <c r="F94" s="94"/>
      <c r="G94" s="96"/>
      <c r="H94" s="5"/>
      <c r="I94" s="5"/>
      <c r="J94" s="5"/>
      <c r="W94" s="174"/>
    </row>
    <row r="95" spans="1:23" s="4" customFormat="1" ht="12" hidden="1" x14ac:dyDescent="0.3">
      <c r="A95" s="94"/>
      <c r="B95" s="94"/>
      <c r="D95" s="94"/>
      <c r="F95" s="94"/>
      <c r="G95" s="96"/>
      <c r="H95" s="5"/>
      <c r="I95" s="5"/>
      <c r="J95" s="5"/>
      <c r="W95" s="174"/>
    </row>
    <row r="96" spans="1:23" s="4" customFormat="1" ht="12" hidden="1" x14ac:dyDescent="0.3">
      <c r="A96" s="94"/>
      <c r="B96" s="94"/>
      <c r="D96" s="94"/>
      <c r="F96" s="94"/>
      <c r="G96" s="96"/>
      <c r="H96" s="5"/>
      <c r="I96" s="5"/>
      <c r="J96" s="5"/>
      <c r="W96" s="174"/>
    </row>
    <row r="97" spans="1:23" s="4" customFormat="1" ht="12" hidden="1" x14ac:dyDescent="0.3">
      <c r="A97" s="94"/>
      <c r="B97" s="94"/>
      <c r="D97" s="94"/>
      <c r="F97" s="94"/>
      <c r="G97" s="96"/>
      <c r="H97" s="5"/>
      <c r="I97" s="5"/>
      <c r="J97" s="5"/>
      <c r="W97" s="174"/>
    </row>
    <row r="98" spans="1:23" s="4" customFormat="1" ht="12" hidden="1" x14ac:dyDescent="0.3">
      <c r="A98" s="94"/>
      <c r="B98" s="94"/>
      <c r="D98" s="94"/>
      <c r="F98" s="94"/>
      <c r="G98" s="96"/>
      <c r="H98" s="5"/>
      <c r="I98" s="5"/>
      <c r="J98" s="5"/>
      <c r="W98" s="174"/>
    </row>
    <row r="99" spans="1:23" s="4" customFormat="1" ht="12" hidden="1" x14ac:dyDescent="0.3">
      <c r="A99" s="94"/>
      <c r="B99" s="94"/>
      <c r="D99" s="94"/>
      <c r="F99" s="94"/>
      <c r="G99" s="96"/>
      <c r="H99" s="5"/>
      <c r="I99" s="5"/>
      <c r="J99" s="5"/>
      <c r="W99" s="174"/>
    </row>
    <row r="100" spans="1:23" s="4" customFormat="1" ht="12" hidden="1" x14ac:dyDescent="0.3">
      <c r="A100" s="94"/>
      <c r="B100" s="94"/>
      <c r="D100" s="94"/>
      <c r="F100" s="94"/>
      <c r="G100" s="96"/>
      <c r="H100" s="5"/>
      <c r="I100" s="5"/>
      <c r="J100" s="5"/>
      <c r="W100" s="174"/>
    </row>
    <row r="101" spans="1:23" s="4" customFormat="1" ht="12" hidden="1" x14ac:dyDescent="0.3">
      <c r="A101" s="94"/>
      <c r="B101" s="94"/>
      <c r="D101" s="94"/>
      <c r="F101" s="94"/>
      <c r="G101" s="96"/>
      <c r="H101" s="5"/>
      <c r="I101" s="5"/>
      <c r="J101" s="5"/>
      <c r="W101" s="174"/>
    </row>
    <row r="102" spans="1:23" s="4" customFormat="1" ht="12" hidden="1" x14ac:dyDescent="0.3">
      <c r="A102" s="94"/>
      <c r="B102" s="94"/>
      <c r="D102" s="94"/>
      <c r="F102" s="94"/>
      <c r="G102" s="96"/>
      <c r="H102" s="5"/>
      <c r="I102" s="5"/>
      <c r="J102" s="5"/>
      <c r="W102" s="174"/>
    </row>
    <row r="103" spans="1:23" s="4" customFormat="1" ht="12" hidden="1" x14ac:dyDescent="0.3">
      <c r="A103" s="94"/>
      <c r="B103" s="94"/>
      <c r="D103" s="94"/>
      <c r="F103" s="94"/>
      <c r="G103" s="96"/>
      <c r="H103" s="5"/>
      <c r="I103" s="5"/>
      <c r="J103" s="5"/>
      <c r="W103" s="174"/>
    </row>
    <row r="104" spans="1:23" s="4" customFormat="1" ht="12" hidden="1" x14ac:dyDescent="0.3">
      <c r="A104" s="94"/>
      <c r="B104" s="94"/>
      <c r="D104" s="94"/>
      <c r="F104" s="94"/>
      <c r="G104" s="96"/>
      <c r="W104" s="174"/>
    </row>
    <row r="105" spans="1:23" s="4" customFormat="1" ht="12" hidden="1" x14ac:dyDescent="0.3">
      <c r="A105" s="94"/>
      <c r="B105" s="94"/>
      <c r="D105" s="94"/>
      <c r="F105" s="94"/>
      <c r="G105" s="96"/>
      <c r="W105" s="174"/>
    </row>
    <row r="106" spans="1:23" s="4" customFormat="1" hidden="1" x14ac:dyDescent="0.35">
      <c r="A106" s="94"/>
      <c r="B106" s="94"/>
      <c r="D106" s="94"/>
      <c r="F106" s="94"/>
      <c r="G106" s="94"/>
      <c r="R106"/>
      <c r="W106" s="174"/>
    </row>
    <row r="107" spans="1:23" s="4" customFormat="1" hidden="1" x14ac:dyDescent="0.35">
      <c r="A107" s="94"/>
      <c r="B107" s="94"/>
      <c r="D107" s="94"/>
      <c r="F107" s="94"/>
      <c r="G107" s="94"/>
      <c r="R107"/>
      <c r="W107" s="174"/>
    </row>
    <row r="108" spans="1:23" s="4" customFormat="1" hidden="1" x14ac:dyDescent="0.35">
      <c r="A108" s="94"/>
      <c r="B108" s="94"/>
      <c r="D108" s="94"/>
      <c r="F108" s="94"/>
      <c r="G108" s="94"/>
      <c r="R108"/>
      <c r="W108" s="174"/>
    </row>
    <row r="109" spans="1:23" s="4" customFormat="1" hidden="1" x14ac:dyDescent="0.35">
      <c r="A109" s="94"/>
      <c r="B109" s="94"/>
      <c r="D109" s="94"/>
      <c r="F109" s="94"/>
      <c r="G109" s="94"/>
      <c r="R109"/>
      <c r="U109"/>
      <c r="V109"/>
      <c r="W109" s="174"/>
    </row>
    <row r="110" spans="1:23" s="4" customFormat="1" hidden="1" x14ac:dyDescent="0.35">
      <c r="A110" s="94"/>
      <c r="B110" s="94"/>
      <c r="D110" s="94"/>
      <c r="F110" s="94"/>
      <c r="G110" s="94"/>
      <c r="R110"/>
      <c r="U110"/>
      <c r="V110"/>
      <c r="W110" s="174"/>
    </row>
    <row r="111" spans="1:23" s="4" customFormat="1" hidden="1" x14ac:dyDescent="0.35">
      <c r="A111" s="94"/>
      <c r="B111" s="94"/>
      <c r="D111" s="94"/>
      <c r="F111" s="94"/>
      <c r="G111" s="94"/>
      <c r="R111"/>
      <c r="U111"/>
      <c r="V111"/>
      <c r="W111" s="174"/>
    </row>
    <row r="112" spans="1:23" s="4" customFormat="1" hidden="1" x14ac:dyDescent="0.35">
      <c r="A112" s="94"/>
      <c r="B112" s="94"/>
      <c r="D112" s="94"/>
      <c r="F112" s="94"/>
      <c r="G112" s="94"/>
      <c r="R112"/>
      <c r="U112"/>
      <c r="V112"/>
      <c r="W112" s="174"/>
    </row>
    <row r="113" spans="1:23" s="4" customFormat="1" hidden="1" x14ac:dyDescent="0.35">
      <c r="A113" s="94"/>
      <c r="B113" s="94"/>
      <c r="D113" s="94"/>
      <c r="F113" s="94"/>
      <c r="G113" s="94"/>
      <c r="R113"/>
      <c r="U113"/>
      <c r="V113"/>
      <c r="W113" s="174"/>
    </row>
    <row r="114" spans="1:23" s="4" customFormat="1" hidden="1" x14ac:dyDescent="0.35">
      <c r="A114" s="94"/>
      <c r="B114" s="94"/>
      <c r="D114" s="94"/>
      <c r="F114" s="94"/>
      <c r="G114" s="94"/>
      <c r="R114"/>
      <c r="U114"/>
      <c r="V114"/>
      <c r="W114" s="174"/>
    </row>
    <row r="115" spans="1:23" s="4" customFormat="1" hidden="1" x14ac:dyDescent="0.35">
      <c r="A115" s="94"/>
      <c r="B115" s="94"/>
      <c r="D115" s="94"/>
      <c r="F115" s="94"/>
      <c r="G115" s="94"/>
      <c r="R115"/>
      <c r="T115"/>
      <c r="U115"/>
      <c r="V115"/>
      <c r="W115" s="174"/>
    </row>
    <row r="116" spans="1:23" s="4" customFormat="1" hidden="1" x14ac:dyDescent="0.35">
      <c r="A116" s="94"/>
      <c r="B116" s="94"/>
      <c r="D116" s="94"/>
      <c r="F116" s="94"/>
      <c r="G116" s="94"/>
      <c r="R116"/>
      <c r="T116"/>
      <c r="U116"/>
      <c r="V116"/>
      <c r="W116" s="174"/>
    </row>
    <row r="117" spans="1:23" s="4" customFormat="1" hidden="1" x14ac:dyDescent="0.35">
      <c r="A117" s="94"/>
      <c r="B117" s="94"/>
      <c r="D117" s="94"/>
      <c r="F117" s="94"/>
      <c r="G117" s="94"/>
      <c r="R117"/>
      <c r="T117"/>
      <c r="U117"/>
      <c r="V117"/>
      <c r="W117" s="174"/>
    </row>
    <row r="118" spans="1:23" s="4" customFormat="1" hidden="1" x14ac:dyDescent="0.35">
      <c r="A118" s="94"/>
      <c r="B118" s="94"/>
      <c r="D118" s="94"/>
      <c r="F118" s="94"/>
      <c r="G118" s="94"/>
      <c r="R118"/>
      <c r="T118"/>
      <c r="U118"/>
      <c r="V118"/>
      <c r="W118" s="174"/>
    </row>
    <row r="119" spans="1:23" s="4" customFormat="1" hidden="1" x14ac:dyDescent="0.35">
      <c r="A119" s="94"/>
      <c r="B119" s="94"/>
      <c r="D119" s="94"/>
      <c r="F119" s="94"/>
      <c r="G119" s="94"/>
      <c r="R119"/>
      <c r="S119"/>
      <c r="T119"/>
      <c r="U119"/>
      <c r="V119"/>
      <c r="W119" s="174"/>
    </row>
    <row r="120" spans="1:23" s="4" customFormat="1" hidden="1" x14ac:dyDescent="0.35">
      <c r="A120" s="94"/>
      <c r="B120" s="94"/>
      <c r="D120" s="94"/>
      <c r="F120" s="94"/>
      <c r="G120" s="94"/>
      <c r="P120"/>
      <c r="R120"/>
      <c r="S120"/>
      <c r="T120"/>
      <c r="U120"/>
      <c r="V120"/>
      <c r="W120" s="174"/>
    </row>
    <row r="121" spans="1:23" s="4" customFormat="1" hidden="1" x14ac:dyDescent="0.35">
      <c r="A121" s="94"/>
      <c r="B121" s="94"/>
      <c r="D121" s="94"/>
      <c r="F121" s="94"/>
      <c r="G121" s="94"/>
      <c r="P121"/>
      <c r="R121"/>
      <c r="S121"/>
      <c r="T121"/>
      <c r="U121"/>
      <c r="V121"/>
      <c r="W121" s="174"/>
    </row>
    <row r="122" spans="1:23" s="4" customFormat="1" hidden="1" x14ac:dyDescent="0.35">
      <c r="A122" s="91"/>
      <c r="B122" s="91"/>
      <c r="C122"/>
      <c r="D122" s="91"/>
      <c r="E122"/>
      <c r="F122" s="91"/>
      <c r="G122" s="91"/>
      <c r="H122"/>
      <c r="I122"/>
      <c r="J122"/>
      <c r="K122"/>
      <c r="L122"/>
      <c r="M122"/>
      <c r="N122"/>
      <c r="O122"/>
      <c r="P122"/>
      <c r="R122"/>
      <c r="S122"/>
      <c r="T122"/>
      <c r="U122"/>
      <c r="V122"/>
      <c r="W122" s="174"/>
    </row>
    <row r="123" spans="1:23" s="4" customFormat="1" hidden="1" x14ac:dyDescent="0.35">
      <c r="A123" s="91"/>
      <c r="B123" s="91"/>
      <c r="C123"/>
      <c r="D123" s="91"/>
      <c r="E123"/>
      <c r="F123" s="91"/>
      <c r="G123" s="91"/>
      <c r="H123"/>
      <c r="I123"/>
      <c r="J123"/>
      <c r="K123"/>
      <c r="L123"/>
      <c r="M123"/>
      <c r="N123"/>
      <c r="O123"/>
      <c r="P123"/>
      <c r="R123"/>
      <c r="S123"/>
      <c r="T123"/>
      <c r="U123"/>
      <c r="V123"/>
      <c r="W123" s="174"/>
    </row>
    <row r="124" spans="1:23" hidden="1" x14ac:dyDescent="0.35">
      <c r="Q124" s="4"/>
    </row>
    <row r="125" spans="1:23" x14ac:dyDescent="0.35"/>
    <row r="126" spans="1:23" x14ac:dyDescent="0.35"/>
  </sheetData>
  <sheetProtection algorithmName="SHA-512" hashValue="heNKUHIybeMkp85USh6ZW1pLj7EdUuifv3DYGPyBQV30TFsnJ3vhmaRJ/x8IiKnVpLcWRMB77K2q8egIz+CkVQ==" saltValue="j3SmObkhMijP+0cQuzS24Q==" spinCount="100000" sheet="1" objects="1" scenarios="1"/>
  <dataConsolidate/>
  <mergeCells count="4">
    <mergeCell ref="A2:C2"/>
    <mergeCell ref="A15:C15"/>
    <mergeCell ref="E13:F13"/>
    <mergeCell ref="E14:F14"/>
  </mergeCells>
  <conditionalFormatting sqref="I17:I61">
    <cfRule type="cellIs" dxfId="2" priority="5" stopIfTrue="1" operator="greaterThan">
      <formula>$H17</formula>
    </cfRule>
  </conditionalFormatting>
  <conditionalFormatting sqref="G14">
    <cfRule type="cellIs" dxfId="1" priority="1" stopIfTrue="1" operator="lessThan">
      <formula>$G$13</formula>
    </cfRule>
  </conditionalFormatting>
  <dataValidations xWindow="269" yWindow="683" count="64">
    <dataValidation allowBlank="1" showInputMessage="1" showErrorMessage="1" prompt="Payee Name" sqref="E17:E61 E4:E11" xr:uid="{00000000-0002-0000-0600-000000000000}"/>
    <dataValidation allowBlank="1" showInputMessage="1" showErrorMessage="1" prompt="Invoice Number" sqref="F17:F61 F4:F11" xr:uid="{00000000-0002-0000-0600-000001000000}"/>
    <dataValidation allowBlank="1" showInputMessage="1" showErrorMessage="1" prompt="Row 3: Date Match Provided" sqref="B6" xr:uid="{DE4623EB-484C-43B4-A3D3-F67084007670}"/>
    <dataValidation allowBlank="1" showInputMessage="1" showErrorMessage="1" prompt="Invoice Date" sqref="G17:G61 G4:G11" xr:uid="{00000000-0002-0000-0600-000003000000}"/>
    <dataValidation allowBlank="1" showInputMessage="1" showErrorMessage="1" prompt="Budget Remaining in cost category_x000a_" sqref="H17:H61 H4:H11" xr:uid="{00000000-0002-0000-0600-000004000000}"/>
    <dataValidation allowBlank="1" showInputMessage="1" showErrorMessage="1" prompt="Draw Request Date" sqref="B17:B61" xr:uid="{00000000-0002-0000-0600-000005000000}"/>
    <dataValidation allowBlank="1" showInputMessage="1" showErrorMessage="1" prompt="Cost Incurred (Including Retainage)" sqref="I17:I61" xr:uid="{00000000-0002-0000-0600-000006000000}"/>
    <dataValidation allowBlank="1" showInputMessage="1" showErrorMessage="1" prompt="Request Less Applicable Retainage" sqref="J17:J61" xr:uid="{00000000-0002-0000-0600-000007000000}"/>
    <dataValidation allowBlank="1" showInputMessage="1" showErrorMessage="1" prompt="Row 2: Date Match Provided" sqref="B5" xr:uid="{69F5F8F3-4438-497F-8F29-723BD6DA740E}"/>
    <dataValidation allowBlank="1" showInputMessage="1" showErrorMessage="1" prompt="Row 1: Date Match Provided" sqref="B4" xr:uid="{E5A7C1C0-8088-48D9-BE14-6346671CE302}"/>
    <dataValidation allowBlank="1" showInputMessage="1" showErrorMessage="1" prompt="Match Amount Provided" sqref="I4:I11" xr:uid="{00000000-0002-0000-0600-00000A000000}"/>
    <dataValidation type="list" allowBlank="1" showInputMessage="1" showErrorMessage="1" prompt="Select validation type from list" sqref="D17:D61" xr:uid="{00000000-0002-0000-0600-00000B000000}">
      <formula1>$P$2:$P$6</formula1>
    </dataValidation>
    <dataValidation type="list" allowBlank="1" showInputMessage="1" showErrorMessage="1" promptTitle="Row 1" prompt="Draw Request Number" sqref="A17" xr:uid="{00000000-0002-0000-0600-00000C000000}">
      <formula1>$T$2:$T12</formula1>
    </dataValidation>
    <dataValidation type="list" allowBlank="1" showInputMessage="1" showErrorMessage="1" promptTitle="Row 2" prompt="Draw Request Number" sqref="A18" xr:uid="{00000000-0002-0000-0600-00000D000000}">
      <formula1>$T$2:$T13</formula1>
    </dataValidation>
    <dataValidation type="list" allowBlank="1" showInputMessage="1" showErrorMessage="1" promptTitle="Row 3" prompt="Draw Request Number" sqref="A19" xr:uid="{00000000-0002-0000-0600-00000E000000}">
      <formula1>$T$2:$T14</formula1>
    </dataValidation>
    <dataValidation type="list" allowBlank="1" showInputMessage="1" showErrorMessage="1" promptTitle="Row 4" prompt="Draw Request Number" sqref="A20" xr:uid="{00000000-0002-0000-0600-00000F000000}">
      <formula1>$T$2:$T15</formula1>
    </dataValidation>
    <dataValidation type="list" allowBlank="1" showInputMessage="1" showErrorMessage="1" promptTitle="Row 5" prompt="Draw Request Number" sqref="A21" xr:uid="{00000000-0002-0000-0600-000010000000}">
      <formula1>$T$2:$T16</formula1>
    </dataValidation>
    <dataValidation type="list" allowBlank="1" showInputMessage="1" showErrorMessage="1" promptTitle="Row 6" prompt="Draw Request Number" sqref="A22" xr:uid="{00000000-0002-0000-0600-000011000000}">
      <formula1>$T$2:$T17</formula1>
    </dataValidation>
    <dataValidation type="list" allowBlank="1" showInputMessage="1" showErrorMessage="1" promptTitle="Row 7" prompt="Draw Request Number" sqref="A23" xr:uid="{00000000-0002-0000-0600-000012000000}">
      <formula1>$T$2:$T18</formula1>
    </dataValidation>
    <dataValidation type="list" allowBlank="1" showInputMessage="1" showErrorMessage="1" promptTitle="Row 8" prompt="Draw Request Number" sqref="A24" xr:uid="{00000000-0002-0000-0600-000013000000}">
      <formula1>$T$2:$T19</formula1>
    </dataValidation>
    <dataValidation type="list" allowBlank="1" showInputMessage="1" showErrorMessage="1" promptTitle="Row 9" prompt="Draw Request Number" sqref="A25" xr:uid="{00000000-0002-0000-0600-000014000000}">
      <formula1>$T$2:$T20</formula1>
    </dataValidation>
    <dataValidation type="list" allowBlank="1" showInputMessage="1" showErrorMessage="1" promptTitle="Row 10" prompt="Draw Request Number" sqref="A26" xr:uid="{00000000-0002-0000-0600-000015000000}">
      <formula1>$T$2:$T21</formula1>
    </dataValidation>
    <dataValidation type="list" allowBlank="1" showInputMessage="1" showErrorMessage="1" promptTitle="Row 11" prompt="Draw Request Number" sqref="A27" xr:uid="{00000000-0002-0000-0600-000016000000}">
      <formula1>$T$2:$T22</formula1>
    </dataValidation>
    <dataValidation type="list" allowBlank="1" showInputMessage="1" showErrorMessage="1" promptTitle="Row 12" prompt="Draw Request Number" sqref="A28" xr:uid="{00000000-0002-0000-0600-000017000000}">
      <formula1>$T$2:$T23</formula1>
    </dataValidation>
    <dataValidation type="list" allowBlank="1" showInputMessage="1" showErrorMessage="1" promptTitle="Row 13" prompt="Draw Request Number" sqref="A29" xr:uid="{00000000-0002-0000-0600-000018000000}">
      <formula1>$T$2:$T24</formula1>
    </dataValidation>
    <dataValidation type="list" allowBlank="1" showInputMessage="1" showErrorMessage="1" promptTitle="Row 14" prompt="Draw Request Number" sqref="A30" xr:uid="{00000000-0002-0000-0600-000019000000}">
      <formula1>$T$2:$T25</formula1>
    </dataValidation>
    <dataValidation type="list" allowBlank="1" showInputMessage="1" showErrorMessage="1" promptTitle="Row 15" prompt="Draw Request Number" sqref="A31" xr:uid="{00000000-0002-0000-0600-00001A000000}">
      <formula1>$T$2:$T26</formula1>
    </dataValidation>
    <dataValidation type="list" allowBlank="1" showInputMessage="1" showErrorMessage="1" promptTitle="Row 16" prompt="Draw Request Number" sqref="A32" xr:uid="{00000000-0002-0000-0600-00001B000000}">
      <formula1>$T$2:$T27</formula1>
    </dataValidation>
    <dataValidation type="list" allowBlank="1" showInputMessage="1" showErrorMessage="1" promptTitle="Row 17" prompt="Draw Request Number" sqref="A33" xr:uid="{00000000-0002-0000-0600-00001C000000}">
      <formula1>$T$2:$T28</formula1>
    </dataValidation>
    <dataValidation type="list" allowBlank="1" showInputMessage="1" showErrorMessage="1" promptTitle="Row 18" prompt="Draw Request Number" sqref="A34" xr:uid="{00000000-0002-0000-0600-00001D000000}">
      <formula1>$T$2:$T29</formula1>
    </dataValidation>
    <dataValidation type="list" allowBlank="1" showInputMessage="1" showErrorMessage="1" promptTitle="Row 19" prompt="Draw Request Number" sqref="A35" xr:uid="{00000000-0002-0000-0600-00001E000000}">
      <formula1>$T$2:$T30</formula1>
    </dataValidation>
    <dataValidation type="list" allowBlank="1" showInputMessage="1" showErrorMessage="1" promptTitle="Row 20" prompt="Draw Request Number" sqref="A36" xr:uid="{00000000-0002-0000-0600-00001F000000}">
      <formula1>$T$2:$T31</formula1>
    </dataValidation>
    <dataValidation type="list" allowBlank="1" showInputMessage="1" showErrorMessage="1" promptTitle="Row 21" prompt="Draw Request Number" sqref="A37" xr:uid="{00000000-0002-0000-0600-000020000000}">
      <formula1>$T$2:$T32</formula1>
    </dataValidation>
    <dataValidation type="list" allowBlank="1" showInputMessage="1" showErrorMessage="1" promptTitle="Row 22" prompt="Draw Request Number" sqref="A38" xr:uid="{00000000-0002-0000-0600-000021000000}">
      <formula1>$T$2:$T33</formula1>
    </dataValidation>
    <dataValidation type="list" allowBlank="1" showInputMessage="1" showErrorMessage="1" promptTitle="Row 23" prompt="Draw Request Number" sqref="A39" xr:uid="{00000000-0002-0000-0600-000022000000}">
      <formula1>$T$2:$T34</formula1>
    </dataValidation>
    <dataValidation type="list" allowBlank="1" showInputMessage="1" showErrorMessage="1" promptTitle="Row 24" prompt="Draw Request Number" sqref="A40" xr:uid="{00000000-0002-0000-0600-000023000000}">
      <formula1>$T$2:$T35</formula1>
    </dataValidation>
    <dataValidation type="list" allowBlank="1" showInputMessage="1" showErrorMessage="1" promptTitle="Row 25" prompt="Draw Request Number" sqref="A41" xr:uid="{00000000-0002-0000-0600-000024000000}">
      <formula1>$T$2:$T36</formula1>
    </dataValidation>
    <dataValidation type="list" allowBlank="1" showInputMessage="1" showErrorMessage="1" promptTitle="Row 26" prompt="Draw Request Number" sqref="A42" xr:uid="{00000000-0002-0000-0600-000025000000}">
      <formula1>$T$2:$T37</formula1>
    </dataValidation>
    <dataValidation type="list" allowBlank="1" showInputMessage="1" showErrorMessage="1" promptTitle="Row 27" prompt="Draw Request Number" sqref="A43" xr:uid="{00000000-0002-0000-0600-000026000000}">
      <formula1>$T$2:$T38</formula1>
    </dataValidation>
    <dataValidation type="list" allowBlank="1" showInputMessage="1" showErrorMessage="1" promptTitle="Row 28" prompt="Draw Request Number" sqref="A44" xr:uid="{00000000-0002-0000-0600-000027000000}">
      <formula1>$T$2:$T39</formula1>
    </dataValidation>
    <dataValidation type="list" allowBlank="1" showInputMessage="1" showErrorMessage="1" promptTitle="Row 29" prompt="Draw Request Number" sqref="A45" xr:uid="{00000000-0002-0000-0600-000028000000}">
      <formula1>$T$2:$T40</formula1>
    </dataValidation>
    <dataValidation type="list" allowBlank="1" showInputMessage="1" showErrorMessage="1" promptTitle="Row 30" prompt="Draw Request Number" sqref="A46" xr:uid="{00000000-0002-0000-0600-000029000000}">
      <formula1>$T$2:$T41</formula1>
    </dataValidation>
    <dataValidation type="list" allowBlank="1" showInputMessage="1" showErrorMessage="1" promptTitle="Row 31" prompt="Draw Request Number" sqref="A47" xr:uid="{00000000-0002-0000-0600-00002A000000}">
      <formula1>$T$2:$T42</formula1>
    </dataValidation>
    <dataValidation type="list" allowBlank="1" showInputMessage="1" showErrorMessage="1" promptTitle="Row 32" prompt="Draw Request Number" sqref="A48" xr:uid="{00000000-0002-0000-0600-00002B000000}">
      <formula1>$T$2:$T43</formula1>
    </dataValidation>
    <dataValidation type="list" allowBlank="1" showInputMessage="1" showErrorMessage="1" promptTitle="Row 33" prompt="Draw Request Number" sqref="A49" xr:uid="{00000000-0002-0000-0600-00002C000000}">
      <formula1>$T$2:$T44</formula1>
    </dataValidation>
    <dataValidation type="list" allowBlank="1" showInputMessage="1" showErrorMessage="1" promptTitle="Row 34" prompt="Draw Request Number" sqref="A50" xr:uid="{00000000-0002-0000-0600-00002D000000}">
      <formula1>$T$2:$T45</formula1>
    </dataValidation>
    <dataValidation type="list" allowBlank="1" showInputMessage="1" showErrorMessage="1" promptTitle="Row 35" prompt="Draw Request Number" sqref="A51" xr:uid="{00000000-0002-0000-0600-00002E000000}">
      <formula1>$T$2:$T46</formula1>
    </dataValidation>
    <dataValidation type="list" allowBlank="1" showInputMessage="1" showErrorMessage="1" promptTitle="Row 36" prompt="Draw Request Number" sqref="A52" xr:uid="{00000000-0002-0000-0600-00002F000000}">
      <formula1>$T$2:$T47</formula1>
    </dataValidation>
    <dataValidation type="list" allowBlank="1" showInputMessage="1" showErrorMessage="1" promptTitle="Row 37" prompt="Draw Request Number" sqref="A53" xr:uid="{00000000-0002-0000-0600-000030000000}">
      <formula1>$T$2:$T48</formula1>
    </dataValidation>
    <dataValidation type="list" allowBlank="1" showInputMessage="1" showErrorMessage="1" promptTitle="Row 38" prompt="Draw Request Number" sqref="A54" xr:uid="{00000000-0002-0000-0600-000031000000}">
      <formula1>$T$2:$T49</formula1>
    </dataValidation>
    <dataValidation type="list" allowBlank="1" showInputMessage="1" showErrorMessage="1" promptTitle="Row 39" prompt="Draw Request Number" sqref="A55" xr:uid="{00000000-0002-0000-0600-000032000000}">
      <formula1>$T$2:$T50</formula1>
    </dataValidation>
    <dataValidation type="list" allowBlank="1" showInputMessage="1" showErrorMessage="1" promptTitle="Row 40" prompt="Draw Request Number" sqref="A56" xr:uid="{00000000-0002-0000-0600-000033000000}">
      <formula1>$T$2:$T51</formula1>
    </dataValidation>
    <dataValidation type="list" allowBlank="1" showInputMessage="1" showErrorMessage="1" promptTitle="Row 41" prompt="Draw Request Number" sqref="A57" xr:uid="{00000000-0002-0000-0600-000034000000}">
      <formula1>$T$2:$T52</formula1>
    </dataValidation>
    <dataValidation type="list" allowBlank="1" showInputMessage="1" showErrorMessage="1" promptTitle="Row 42" prompt="Draw Request Number" sqref="A58" xr:uid="{00000000-0002-0000-0600-000035000000}">
      <formula1>$T$2:$T53</formula1>
    </dataValidation>
    <dataValidation type="list" allowBlank="1" showInputMessage="1" showErrorMessage="1" promptTitle="Row 43" prompt="Draw Request Number" sqref="A59" xr:uid="{00000000-0002-0000-0600-000036000000}">
      <formula1>$T$2:$T53</formula1>
    </dataValidation>
    <dataValidation type="list" allowBlank="1" showInputMessage="1" showErrorMessage="1" promptTitle="Row 44" prompt="Draw Request Number" sqref="A60" xr:uid="{00000000-0002-0000-0600-000037000000}">
      <formula1>$T$2:$T53</formula1>
    </dataValidation>
    <dataValidation type="list" allowBlank="1" showInputMessage="1" showErrorMessage="1" promptTitle="Row 45" prompt="Draw Request Number" sqref="A61" xr:uid="{00000000-0002-0000-0600-000038000000}">
      <formula1>$T$2:$T54</formula1>
    </dataValidation>
    <dataValidation type="list" allowBlank="1" showInputMessage="1" showErrorMessage="1" prompt="Select validation type from list" sqref="D4:D11" xr:uid="{00000000-0002-0000-0600-000039000000}">
      <formula1>$P$2:$P$7</formula1>
    </dataValidation>
    <dataValidation allowBlank="1" showInputMessage="1" showErrorMessage="1" prompt="Row 4: Date Match Provided" sqref="B7" xr:uid="{00000000-0002-0000-0600-00003A000000}"/>
    <dataValidation allowBlank="1" showInputMessage="1" showErrorMessage="1" prompt="Row 5: Date Match Provided" sqref="B8" xr:uid="{00000000-0002-0000-0600-00003B000000}"/>
    <dataValidation allowBlank="1" showInputMessage="1" showErrorMessage="1" prompt="Row 6: Date Match Provided" sqref="B9" xr:uid="{00000000-0002-0000-0600-00003C000000}"/>
    <dataValidation allowBlank="1" showInputMessage="1" showErrorMessage="1" prompt="Row 7: Date Match Provided" sqref="B10" xr:uid="{00000000-0002-0000-0600-00003D000000}"/>
    <dataValidation allowBlank="1" showInputMessage="1" showErrorMessage="1" prompt="Row 8: Date Match Provided" sqref="B11" xr:uid="{00000000-0002-0000-0600-00003E000000}"/>
    <dataValidation type="list" allowBlank="1" showInputMessage="1" showErrorMessage="1" prompt="Select cost category from list" sqref="C17:C61 C4:C11" xr:uid="{00000000-0002-0000-0600-00003F000000}">
      <formula1>$R$3:$R$24</formula1>
    </dataValidation>
  </dataValidations>
  <hyperlinks>
    <hyperlink ref="W2" location="BEGINNING_OF_MATCH_AND_DRAW" display="Beginning of Form" xr:uid="{00000000-0004-0000-0600-000000000000}"/>
    <hyperlink ref="W3" location="MATCH_LOG" display="Match Record Section" xr:uid="{00000000-0004-0000-0600-000001000000}"/>
    <hyperlink ref="W4" location="Draw_Req_LOG" display="Draw Request Section" xr:uid="{00000000-0004-0000-0600-000002000000}"/>
    <hyperlink ref="W10" location="Match_log_TDHCA_USE_ONLY" display="TDHCA Match Approval Columns" xr:uid="{00000000-0004-0000-0600-000003000000}"/>
    <hyperlink ref="D63" location="'Table of Contents'!A1" display="Click to return to the Table of Contents" xr:uid="{00000000-0004-0000-0600-000004000000}"/>
    <hyperlink ref="A1" location="DRAW_REQUEST_NAVIGATION_LINKS" display="Use the tab key to complete the form.  Use the list of links or use the arrow keys to access locked cells." xr:uid="{00000000-0004-0000-0600-000005000000}"/>
  </hyperlinks>
  <pageMargins left="0.25" right="0.25" top="0.25" bottom="0.25" header="0" footer="0"/>
  <pageSetup paperSize="5" scale="92" orientation="landscape" r:id="rId1"/>
  <ignoredErrors>
    <ignoredError sqref="G14"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5"/>
  <sheetViews>
    <sheetView showGridLines="0" showRuler="0" view="pageLayout" zoomScaleNormal="100" workbookViewId="0">
      <selection sqref="A1:B1"/>
    </sheetView>
  </sheetViews>
  <sheetFormatPr defaultColWidth="0" defaultRowHeight="14.5" zeroHeight="1" x14ac:dyDescent="0.35"/>
  <cols>
    <col min="1" max="1" width="36" style="40" customWidth="1"/>
    <col min="2" max="2" width="64.453125" style="40" customWidth="1"/>
    <col min="3" max="16384" width="0" style="40" hidden="1"/>
  </cols>
  <sheetData>
    <row r="1" spans="1:2" s="152" customFormat="1" ht="39.75" customHeight="1" thickBot="1" x14ac:dyDescent="0.4">
      <c r="A1" s="515" t="s">
        <v>372</v>
      </c>
      <c r="B1" s="516"/>
    </row>
    <row r="2" spans="1:2" ht="42.65" customHeight="1" thickTop="1" thickBot="1" x14ac:dyDescent="0.4">
      <c r="A2" s="517" t="s">
        <v>373</v>
      </c>
      <c r="B2" s="518"/>
    </row>
    <row r="3" spans="1:2" ht="18.75" customHeight="1" thickTop="1" x14ac:dyDescent="0.35">
      <c r="A3" s="41" t="s">
        <v>100</v>
      </c>
      <c r="B3" s="41"/>
    </row>
    <row r="4" spans="1:2" ht="28.5" customHeight="1" x14ac:dyDescent="0.35">
      <c r="A4" s="42" t="s">
        <v>318</v>
      </c>
      <c r="B4" s="43" t="s">
        <v>319</v>
      </c>
    </row>
    <row r="5" spans="1:2" x14ac:dyDescent="0.35">
      <c r="A5" s="42" t="s">
        <v>24</v>
      </c>
      <c r="B5" s="43" t="s">
        <v>137</v>
      </c>
    </row>
    <row r="6" spans="1:2" x14ac:dyDescent="0.35">
      <c r="A6" s="42" t="s">
        <v>86</v>
      </c>
      <c r="B6" s="43" t="s">
        <v>101</v>
      </c>
    </row>
    <row r="7" spans="1:2" x14ac:dyDescent="0.35">
      <c r="A7" s="42" t="s">
        <v>25</v>
      </c>
      <c r="B7" s="43" t="s">
        <v>101</v>
      </c>
    </row>
    <row r="8" spans="1:2" ht="16.5" customHeight="1" x14ac:dyDescent="0.35">
      <c r="A8" s="42" t="s">
        <v>34</v>
      </c>
      <c r="B8" s="43" t="s">
        <v>102</v>
      </c>
    </row>
    <row r="9" spans="1:2" ht="27" customHeight="1" x14ac:dyDescent="0.35">
      <c r="A9" s="42" t="s">
        <v>103</v>
      </c>
      <c r="B9" s="43" t="s">
        <v>138</v>
      </c>
    </row>
    <row r="10" spans="1:2" ht="27.75" customHeight="1" x14ac:dyDescent="0.35">
      <c r="A10" s="42" t="s">
        <v>142</v>
      </c>
      <c r="B10" s="43" t="s">
        <v>320</v>
      </c>
    </row>
    <row r="11" spans="1:2" ht="26.5" customHeight="1" x14ac:dyDescent="0.35">
      <c r="A11" s="154" t="s">
        <v>321</v>
      </c>
      <c r="B11" s="444" t="s">
        <v>322</v>
      </c>
    </row>
    <row r="12" spans="1:2" ht="18.75" customHeight="1" x14ac:dyDescent="0.35">
      <c r="A12" s="153" t="s">
        <v>32</v>
      </c>
      <c r="B12" s="153"/>
    </row>
    <row r="13" spans="1:2" ht="26" x14ac:dyDescent="0.35">
      <c r="A13" s="45" t="s">
        <v>324</v>
      </c>
      <c r="B13" s="43" t="s">
        <v>323</v>
      </c>
    </row>
    <row r="14" spans="1:2" ht="39" x14ac:dyDescent="0.35">
      <c r="A14" s="45" t="s">
        <v>234</v>
      </c>
      <c r="B14" s="43" t="s">
        <v>325</v>
      </c>
    </row>
    <row r="15" spans="1:2" s="155" customFormat="1" ht="64.5" customHeight="1" x14ac:dyDescent="0.35">
      <c r="A15" s="519" t="s">
        <v>326</v>
      </c>
      <c r="B15" s="520"/>
    </row>
    <row r="16" spans="1:2" x14ac:dyDescent="0.35">
      <c r="A16" s="81" t="s">
        <v>121</v>
      </c>
    </row>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4" ht="76.5" hidden="1" customHeight="1" x14ac:dyDescent="0.35"/>
    <row r="45" ht="55.5" hidden="1" customHeight="1" x14ac:dyDescent="0.35"/>
  </sheetData>
  <mergeCells count="3">
    <mergeCell ref="A1:B1"/>
    <mergeCell ref="A2:B2"/>
    <mergeCell ref="A15:B15"/>
  </mergeCells>
  <hyperlinks>
    <hyperlink ref="A16" location="'Table of Contents'!A1" display="Click to return to the Table of Contents" xr:uid="{00000000-0004-0000-0700-000000000000}"/>
  </hyperlinks>
  <pageMargins left="0.25" right="0.25" top="0.25" bottom="0.25" header="0" footer="0"/>
  <pageSetup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6" tint="-0.249977111117893"/>
  </sheetPr>
  <dimension ref="A1:AN32"/>
  <sheetViews>
    <sheetView showGridLines="0" showRuler="0" showWhiteSpace="0" view="pageLayout" zoomScaleNormal="100" workbookViewId="0">
      <selection activeCell="B2" sqref="B2:C2"/>
    </sheetView>
  </sheetViews>
  <sheetFormatPr defaultColWidth="0" defaultRowHeight="15.5" zeroHeight="1" x14ac:dyDescent="0.35"/>
  <cols>
    <col min="1" max="1" width="20.81640625" customWidth="1"/>
    <col min="2" max="2" width="18.1796875" customWidth="1"/>
    <col min="3" max="3" width="14.1796875" customWidth="1"/>
    <col min="4" max="4" width="20.81640625" customWidth="1"/>
    <col min="5" max="5" width="25.453125" customWidth="1"/>
    <col min="6" max="6" width="15.81640625" style="149" hidden="1" customWidth="1"/>
    <col min="7" max="7" width="15.1796875" hidden="1" customWidth="1"/>
    <col min="8" max="8" width="1" style="174" customWidth="1"/>
    <col min="9" max="9" width="15" hidden="1" customWidth="1"/>
  </cols>
  <sheetData>
    <row r="1" spans="1:8" ht="18" customHeight="1" x14ac:dyDescent="0.35">
      <c r="A1" s="14" t="s">
        <v>205</v>
      </c>
      <c r="B1" s="134" t="s">
        <v>200</v>
      </c>
      <c r="C1" s="134"/>
      <c r="D1" s="134"/>
      <c r="E1" s="134"/>
      <c r="G1" t="s">
        <v>195</v>
      </c>
      <c r="H1" s="172" t="s">
        <v>252</v>
      </c>
    </row>
    <row r="2" spans="1:8" ht="30.65" customHeight="1" x14ac:dyDescent="0.35">
      <c r="A2" s="120" t="s">
        <v>193</v>
      </c>
      <c r="B2" s="538" t="s">
        <v>136</v>
      </c>
      <c r="C2" s="539"/>
      <c r="D2" s="120" t="s">
        <v>196</v>
      </c>
      <c r="E2" s="113" t="s">
        <v>136</v>
      </c>
      <c r="G2" t="s">
        <v>136</v>
      </c>
      <c r="H2" s="172" t="s">
        <v>24</v>
      </c>
    </row>
    <row r="3" spans="1:8" ht="30.65" customHeight="1" x14ac:dyDescent="0.35">
      <c r="A3" s="121" t="s">
        <v>0</v>
      </c>
      <c r="B3" s="540" t="str">
        <f>IF('Final Budget'!B2&gt;0,'Final Budget'!B2,"")</f>
        <v/>
      </c>
      <c r="C3" s="541"/>
      <c r="D3" s="121" t="s">
        <v>197</v>
      </c>
      <c r="E3" s="114">
        <f>'Final Budget'!E2</f>
        <v>0</v>
      </c>
      <c r="H3" s="172" t="s">
        <v>35</v>
      </c>
    </row>
    <row r="4" spans="1:8" ht="30.65" customHeight="1" x14ac:dyDescent="0.35">
      <c r="A4" s="121" t="s">
        <v>23</v>
      </c>
      <c r="B4" s="538" t="s">
        <v>136</v>
      </c>
      <c r="C4" s="539"/>
      <c r="D4" s="121" t="s">
        <v>198</v>
      </c>
      <c r="E4" s="114">
        <f>IF(E8="",MAX('Draw Request'!A17:A61),IF(E8="YES","Retainage",MAX('Draw Request'!A17:A61)))</f>
        <v>0</v>
      </c>
      <c r="H4" s="172" t="s">
        <v>36</v>
      </c>
    </row>
    <row r="5" spans="1:8" ht="30.65" customHeight="1" x14ac:dyDescent="0.35">
      <c r="A5" s="145" t="s">
        <v>141</v>
      </c>
      <c r="B5" s="538" t="s">
        <v>136</v>
      </c>
      <c r="C5" s="539"/>
      <c r="D5" s="122" t="s">
        <v>235</v>
      </c>
      <c r="E5" s="115" t="s">
        <v>194</v>
      </c>
      <c r="H5" s="172" t="s">
        <v>34</v>
      </c>
    </row>
    <row r="6" spans="1:8" x14ac:dyDescent="0.35">
      <c r="A6" s="250"/>
      <c r="B6" s="85"/>
      <c r="C6" s="85"/>
      <c r="D6" s="85"/>
      <c r="E6" s="251"/>
      <c r="H6" s="172" t="s">
        <v>37</v>
      </c>
    </row>
    <row r="7" spans="1:8" ht="16" thickBot="1" x14ac:dyDescent="0.4">
      <c r="A7" s="524" t="s">
        <v>32</v>
      </c>
      <c r="B7" s="525"/>
      <c r="C7" s="525"/>
      <c r="D7" s="525"/>
      <c r="E7" s="526"/>
      <c r="H7" s="172" t="s">
        <v>142</v>
      </c>
    </row>
    <row r="8" spans="1:8" ht="28.5" customHeight="1" thickTop="1" x14ac:dyDescent="0.35">
      <c r="A8" s="535" t="s">
        <v>342</v>
      </c>
      <c r="B8" s="536"/>
      <c r="C8" s="536"/>
      <c r="D8" s="537"/>
      <c r="E8" s="171" t="s">
        <v>194</v>
      </c>
      <c r="H8" s="172" t="s">
        <v>48</v>
      </c>
    </row>
    <row r="9" spans="1:8" ht="28.5" customHeight="1" x14ac:dyDescent="0.35">
      <c r="A9" s="546" t="s">
        <v>343</v>
      </c>
      <c r="B9" s="547"/>
      <c r="C9" s="547"/>
      <c r="D9" s="548"/>
      <c r="E9" s="255" t="s">
        <v>194</v>
      </c>
      <c r="H9" s="172" t="s">
        <v>38</v>
      </c>
    </row>
    <row r="10" spans="1:8" s="12" customFormat="1" ht="6.65" customHeight="1" x14ac:dyDescent="0.35">
      <c r="A10" s="252"/>
      <c r="B10" s="253"/>
      <c r="C10" s="180"/>
      <c r="D10" s="180"/>
      <c r="E10" s="254"/>
      <c r="F10" s="150"/>
      <c r="H10" s="173" t="s">
        <v>39</v>
      </c>
    </row>
    <row r="11" spans="1:8" x14ac:dyDescent="0.35">
      <c r="A11" s="529" t="s">
        <v>26</v>
      </c>
      <c r="B11" s="530"/>
      <c r="C11" s="181">
        <f>'Final Budget'!B49</f>
        <v>0</v>
      </c>
      <c r="D11" s="85"/>
      <c r="E11" s="123"/>
      <c r="H11" s="173" t="s">
        <v>51</v>
      </c>
    </row>
    <row r="12" spans="1:8" x14ac:dyDescent="0.35">
      <c r="A12" s="529" t="s">
        <v>27</v>
      </c>
      <c r="B12" s="530"/>
      <c r="C12" s="181">
        <f>'Final Budget'!C49</f>
        <v>0</v>
      </c>
      <c r="D12" s="85"/>
      <c r="E12" s="123"/>
      <c r="H12" s="173" t="s">
        <v>40</v>
      </c>
    </row>
    <row r="13" spans="1:8" x14ac:dyDescent="0.35">
      <c r="A13" s="529" t="s">
        <v>50</v>
      </c>
      <c r="B13" s="530"/>
      <c r="C13" s="181">
        <f>IF(E4&gt;0,SUM('Draw Request'!J17:J61)-SUMIF('Draw Request'!A17:A61,E4,'Draw Request'!J17:J61),0)</f>
        <v>0</v>
      </c>
      <c r="D13" s="85"/>
      <c r="E13" s="123"/>
      <c r="H13" s="173" t="s">
        <v>41</v>
      </c>
    </row>
    <row r="14" spans="1:8" x14ac:dyDescent="0.35">
      <c r="A14" s="533" t="s">
        <v>28</v>
      </c>
      <c r="B14" s="534"/>
      <c r="C14" s="182">
        <f>IF(E8="",'Draw Request'!K62,IF('App and Cert for Payment'!E4&gt;0,'Draw Request'!I62-'Draw Request'!J62+B18,0))</f>
        <v>0</v>
      </c>
      <c r="D14" s="85"/>
      <c r="E14" s="123"/>
      <c r="H14" s="173" t="s">
        <v>42</v>
      </c>
    </row>
    <row r="15" spans="1:8" x14ac:dyDescent="0.35">
      <c r="A15" s="542" t="s">
        <v>199</v>
      </c>
      <c r="B15" s="543"/>
      <c r="C15" s="183">
        <f>IF(AND(C8&gt;0,C9&gt;0),C12-C13-C14,IF(C8&gt;0,"N/A",C12-C13-C14))</f>
        <v>0</v>
      </c>
      <c r="D15" s="85"/>
      <c r="E15" s="123"/>
      <c r="H15" s="173" t="s">
        <v>43</v>
      </c>
    </row>
    <row r="16" spans="1:8" x14ac:dyDescent="0.35">
      <c r="A16" s="184"/>
      <c r="B16" s="185"/>
      <c r="C16" s="85"/>
      <c r="D16" s="85"/>
      <c r="E16" s="123"/>
      <c r="H16" s="173" t="s">
        <v>44</v>
      </c>
    </row>
    <row r="17" spans="1:40" x14ac:dyDescent="0.35">
      <c r="A17" s="529" t="s">
        <v>29</v>
      </c>
      <c r="B17" s="530"/>
      <c r="C17" s="181">
        <f>IF(AND(E8="YES",E9="YES"),SUMIF('Draw Request'!A17:A61,E4,'Draw Request'!J17:J61),IF(E8="YES",0,+C19-C18))</f>
        <v>0</v>
      </c>
      <c r="D17" s="117" t="s">
        <v>136</v>
      </c>
      <c r="E17" s="123"/>
      <c r="H17" s="173" t="s">
        <v>45</v>
      </c>
    </row>
    <row r="18" spans="1:40" ht="16" thickBot="1" x14ac:dyDescent="0.4">
      <c r="A18" s="531" t="str">
        <f>IF(AND(E8&gt;0),"Plus Retainage","Less Retainage (10%)")</f>
        <v>Plus Retainage</v>
      </c>
      <c r="B18" s="532"/>
      <c r="C18" s="186">
        <f>IF(AND(E8="YES",E9="YES"),C14,IF(E8="YES",C14,IF(E5="YES",0,-SUMIF('Draw Request'!A17:A61,E4,'Draw Request'!I17:I61)+SUMIF('Draw Request'!A17:A61,E4,'Draw Request'!J17:J61))))</f>
        <v>0</v>
      </c>
      <c r="D18" s="117" t="s">
        <v>136</v>
      </c>
      <c r="E18" s="123"/>
      <c r="H18" s="173" t="s">
        <v>46</v>
      </c>
    </row>
    <row r="19" spans="1:40" ht="26" customHeight="1" thickBot="1" x14ac:dyDescent="0.4">
      <c r="A19" s="544" t="str">
        <f>CONCATENATE("AMOUNT REQUESTED FOR DRAW # ",E4)</f>
        <v>AMOUNT REQUESTED FOR DRAW # 0</v>
      </c>
      <c r="B19" s="545"/>
      <c r="C19" s="187">
        <f>IF(AND(E8="YES",E9="YES"),C14+SUMIF('Draw Request'!A17:A61,E4,'Draw Request'!J17:J61),IF(E8="YES",C14,IF(E5="YES",SUMIF('Draw Request'!A17:A61,E4,'Draw Request'!I17:I61),SUMIF('Draw Request'!A17:A61,E4,'Draw Request'!J17:J61))))</f>
        <v>0</v>
      </c>
      <c r="D19" s="116" t="s">
        <v>136</v>
      </c>
      <c r="E19" s="123"/>
      <c r="H19" s="173" t="s">
        <v>47</v>
      </c>
    </row>
    <row r="20" spans="1:40" ht="9.65" customHeight="1" x14ac:dyDescent="0.35">
      <c r="A20" s="126"/>
      <c r="B20" s="125"/>
      <c r="C20" s="112"/>
      <c r="D20" s="85"/>
      <c r="E20" s="123"/>
      <c r="H20" s="173" t="s">
        <v>219</v>
      </c>
    </row>
    <row r="21" spans="1:40" ht="20.5" customHeight="1" x14ac:dyDescent="0.35">
      <c r="A21" s="529" t="s">
        <v>30</v>
      </c>
      <c r="B21" s="530"/>
      <c r="C21" s="181">
        <f>'Final Budget'!E51</f>
        <v>0</v>
      </c>
      <c r="D21" s="85"/>
      <c r="E21" s="123"/>
      <c r="H21" s="172"/>
    </row>
    <row r="22" spans="1:40" x14ac:dyDescent="0.35">
      <c r="A22" s="533" t="s">
        <v>31</v>
      </c>
      <c r="B22" s="534"/>
      <c r="C22" s="182">
        <f>'Draw Request'!I12</f>
        <v>0</v>
      </c>
      <c r="D22" s="85"/>
      <c r="E22" s="123"/>
    </row>
    <row r="23" spans="1:40" ht="23.5" customHeight="1" thickBot="1" x14ac:dyDescent="0.4">
      <c r="A23" s="527" t="s">
        <v>202</v>
      </c>
      <c r="B23" s="528"/>
      <c r="C23" s="188">
        <f>+C21-C22</f>
        <v>0</v>
      </c>
      <c r="D23" s="119"/>
      <c r="E23" s="124"/>
    </row>
    <row r="24" spans="1:40" ht="273.64999999999998" customHeight="1" x14ac:dyDescent="0.35">
      <c r="A24" s="521" t="s">
        <v>478</v>
      </c>
      <c r="B24" s="522"/>
      <c r="C24" s="522"/>
      <c r="D24" s="522"/>
      <c r="E24" s="523"/>
    </row>
    <row r="25" spans="1:40" ht="285.64999999999998" hidden="1" customHeight="1" x14ac:dyDescent="0.35">
      <c r="A25" s="118"/>
      <c r="B25" s="118"/>
      <c r="C25" s="118"/>
      <c r="D25" s="118"/>
      <c r="E25" s="118"/>
    </row>
    <row r="26" spans="1:40" hidden="1" x14ac:dyDescent="0.35">
      <c r="A26" s="118"/>
      <c r="B26" s="118"/>
      <c r="C26" s="118"/>
      <c r="D26" s="118"/>
      <c r="E26" s="118"/>
    </row>
    <row r="27" spans="1:40" ht="127.5" hidden="1" customHeight="1" x14ac:dyDescent="0.35">
      <c r="A27" s="118"/>
      <c r="B27" s="118"/>
      <c r="C27" s="118"/>
      <c r="D27" s="118"/>
      <c r="E27" s="118"/>
      <c r="F27" s="151"/>
      <c r="G27" s="9"/>
      <c r="H27" s="178"/>
      <c r="I27" s="9"/>
      <c r="J27" s="11"/>
      <c r="K27" s="11"/>
      <c r="L27" s="10"/>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row>
    <row r="28" spans="1:40" ht="47.25" hidden="1" customHeight="1" x14ac:dyDescent="0.35">
      <c r="A28" s="118"/>
      <c r="B28" s="118"/>
      <c r="C28" s="118"/>
      <c r="D28" s="118"/>
      <c r="E28" s="118"/>
      <c r="F28" s="151"/>
      <c r="G28" s="9"/>
      <c r="H28" s="178"/>
      <c r="I28" s="9"/>
      <c r="J28" s="11"/>
      <c r="K28" s="11"/>
      <c r="L28" s="10"/>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row>
    <row r="29" spans="1:40" hidden="1" x14ac:dyDescent="0.35">
      <c r="A29" s="118"/>
      <c r="B29" s="118"/>
      <c r="C29" s="118"/>
      <c r="D29" s="118"/>
      <c r="E29" s="118"/>
    </row>
    <row r="30" spans="1:40" hidden="1" x14ac:dyDescent="0.35">
      <c r="A30" s="118"/>
      <c r="B30" s="118"/>
      <c r="C30" s="118"/>
      <c r="D30" s="118"/>
      <c r="E30" s="118"/>
    </row>
    <row r="31" spans="1:40" hidden="1" x14ac:dyDescent="0.35">
      <c r="A31" s="118"/>
      <c r="B31" s="118"/>
      <c r="C31" s="118"/>
      <c r="D31" s="118"/>
      <c r="E31" s="118"/>
    </row>
    <row r="32" spans="1:40" hidden="1" x14ac:dyDescent="0.35">
      <c r="A32" s="118"/>
      <c r="B32" s="118"/>
      <c r="C32" s="118"/>
      <c r="D32" s="118"/>
      <c r="E32" s="118"/>
    </row>
  </sheetData>
  <sheetProtection algorithmName="SHA-512" hashValue="akftfuC+83q/58mmM0hY/7kvHYOzsaqtJO/dOG6XQ5/NwiWY66ScGTlMMAiX38Ha99nFrk6SF9fQIT1VP1qCjw==" saltValue="KkKAdBqAgEM92JxfCyWIIw==" spinCount="100000" sheet="1" objects="1" scenarios="1"/>
  <mergeCells count="19">
    <mergeCell ref="B4:C4"/>
    <mergeCell ref="B3:C3"/>
    <mergeCell ref="A15:B15"/>
    <mergeCell ref="A19:B19"/>
    <mergeCell ref="B2:C2"/>
    <mergeCell ref="A17:B17"/>
    <mergeCell ref="A11:B11"/>
    <mergeCell ref="A12:B12"/>
    <mergeCell ref="A13:B13"/>
    <mergeCell ref="A9:D9"/>
    <mergeCell ref="B5:C5"/>
    <mergeCell ref="A24:E24"/>
    <mergeCell ref="A7:E7"/>
    <mergeCell ref="A23:B23"/>
    <mergeCell ref="A21:B21"/>
    <mergeCell ref="A18:B18"/>
    <mergeCell ref="A14:B14"/>
    <mergeCell ref="A22:B22"/>
    <mergeCell ref="A8:D8"/>
  </mergeCells>
  <conditionalFormatting sqref="A23:B23">
    <cfRule type="expression" dxfId="0" priority="1" stopIfTrue="1">
      <formula>($C$23&gt;0)</formula>
    </cfRule>
  </conditionalFormatting>
  <dataValidations xWindow="877" yWindow="259" count="21">
    <dataValidation type="list" allowBlank="1" showInputMessage="1" showErrorMessage="1" prompt="Select &quot;YES&quot; if this draw request includes Retainage AND other costs, otherwise leave blank." sqref="E9" xr:uid="{00000000-0002-0000-0800-000000000000}">
      <formula1>"YES,NO"</formula1>
    </dataValidation>
    <dataValidation allowBlank="1" showInputMessage="1" showErrorMessage="1" prompt="Contract Administrator Name" sqref="B2:C2" xr:uid="{00000000-0002-0000-0800-000001000000}"/>
    <dataValidation allowBlank="1" showInputMessage="1" showErrorMessage="1" prompt="Household Name" sqref="B3:C3" xr:uid="{00000000-0002-0000-0800-000002000000}"/>
    <dataValidation allowBlank="1" showInputMessage="1" showErrorMessage="1" prompt="Household Address" sqref="B4:C4" xr:uid="{00000000-0002-0000-0800-000003000000}"/>
    <dataValidation allowBlank="1" showInputMessage="1" showErrorMessage="1" prompt="Project Number" sqref="B5:C5" xr:uid="{00000000-0002-0000-0800-000004000000}"/>
    <dataValidation allowBlank="1" showInputMessage="1" showErrorMessage="1" prompt="Date" sqref="E2" xr:uid="{00000000-0002-0000-0800-000005000000}"/>
    <dataValidation allowBlank="1" showInputMessage="1" showErrorMessage="1" prompt="Contract Number" sqref="E3" xr:uid="{00000000-0002-0000-0800-000006000000}"/>
    <dataValidation allowBlank="1" showInputMessage="1" showErrorMessage="1" prompt="Draw Request Number" sqref="E4" xr:uid="{00000000-0002-0000-0800-000007000000}"/>
    <dataValidation type="list" allowBlank="1" showInputMessage="1" showErrorMessage="1" prompt="Select &quot;YES&quot; if this draw request is ONLY for Retainage, otherwise leave blank." sqref="E8" xr:uid="{00000000-0002-0000-0800-000008000000}">
      <formula1>"YES,NO"</formula1>
    </dataValidation>
    <dataValidation allowBlank="1" showInputMessage="1" showErrorMessage="1" prompt="Total project budget" sqref="C11" xr:uid="{00000000-0002-0000-0800-000009000000}"/>
    <dataValidation allowBlank="1" showInputMessage="1" showErrorMessage="1" prompt="Budgeted HOME Funds" sqref="C12" xr:uid="{00000000-0002-0000-0800-00000A000000}"/>
    <dataValidation allowBlank="1" showInputMessage="1" showErrorMessage="1" prompt="Cumulative amount disbursed to date." sqref="C13" xr:uid="{00000000-0002-0000-0800-00000B000000}"/>
    <dataValidation allowBlank="1" showInputMessage="1" showErrorMessage="1" prompt="Retainage withheld" sqref="C14" xr:uid="{00000000-0002-0000-0800-00000C000000}"/>
    <dataValidation allowBlank="1" showInputMessage="1" showErrorMessage="1" prompt="Available balance" sqref="C15" xr:uid="{00000000-0002-0000-0800-00000D000000}"/>
    <dataValidation allowBlank="1" showInputMessage="1" showErrorMessage="1" prompt="Costs incurred during period" sqref="C17" xr:uid="{00000000-0002-0000-0800-00000E000000}"/>
    <dataValidation allowBlank="1" showInputMessage="1" showErrorMessage="1" prompt="Less retainage if NOT final draw, plus retainage if final draw" sqref="C18" xr:uid="{00000000-0002-0000-0800-00000F000000}"/>
    <dataValidation allowBlank="1" showInputMessage="1" showErrorMessage="1" prompt="Amount requested for current draw number" sqref="C19" xr:uid="{00000000-0002-0000-0800-000010000000}"/>
    <dataValidation allowBlank="1" showInputMessage="1" showErrorMessage="1" prompt="Total Match Required" sqref="C21" xr:uid="{00000000-0002-0000-0800-000011000000}"/>
    <dataValidation allowBlank="1" showInputMessage="1" showErrorMessage="1" prompt="Match provided to date" sqref="C22" xr:uid="{00000000-0002-0000-0800-000012000000}"/>
    <dataValidation allowBlank="1" showInputMessage="1" showErrorMessage="1" prompt="Balance of Match" sqref="C23" xr:uid="{00000000-0002-0000-0800-000013000000}"/>
    <dataValidation type="list" allowBlank="1" showInputMessage="1" showErrorMessage="1" prompt="If retainage has already been drawn, select &quot;YES&quot;.  Otherwise, select &quot;NO&quot;." sqref="E5" xr:uid="{00000000-0002-0000-0800-000014000000}">
      <formula1>"YES,NO"</formula1>
    </dataValidation>
  </dataValidations>
  <hyperlinks>
    <hyperlink ref="H1" location="'App and Cert of Payment'!B2" display="Administrator Name" xr:uid="{00000000-0004-0000-0800-000000000000}"/>
    <hyperlink ref="H2" location="'App and Cert of Payment'!E2" display="Date" xr:uid="{00000000-0004-0000-0800-000001000000}"/>
    <hyperlink ref="H3" location="'App and Cert of Payment'!B3" display="Info Only: Household Name" xr:uid="{00000000-0004-0000-0800-000002000000}"/>
    <hyperlink ref="H4" location="'App and Cert of Payment'!E3" display="Info Only: Contract Number" xr:uid="{00000000-0004-0000-0800-000003000000}"/>
    <hyperlink ref="H5" location="'App and Cert of Payment'!B4" display="Household Address" xr:uid="{00000000-0004-0000-0800-000004000000}"/>
    <hyperlink ref="H6" location="'App and Cert of Payment'!E4" display="Info Only: Draw Request Number" xr:uid="{00000000-0004-0000-0800-000005000000}"/>
    <hyperlink ref="H7" location="'App and Cert of Payment'!B5" display="Project Number" xr:uid="{00000000-0004-0000-0800-000006000000}"/>
    <hyperlink ref="H8" location="'App and Cert of Payment'!E8" display="Retainage Draw Information- Tab down to navigate.  2 cells only." xr:uid="{00000000-0004-0000-0800-000007000000}"/>
    <hyperlink ref="H9" location="'App and Cert of Payment'!C11" display="Info Only: Total Budget" xr:uid="{00000000-0004-0000-0800-000008000000}"/>
    <hyperlink ref="H10" location="'App and Cert of Payment'!C12" display="Info Only: Committed HOME Funds" xr:uid="{00000000-0004-0000-0800-000009000000}"/>
    <hyperlink ref="H11" location="'App and Cert of Payment'!C13" display="Info Only: Cumulative Amount Disbursed to Date" xr:uid="{00000000-0004-0000-0800-00000A000000}"/>
    <hyperlink ref="H12" location="'App and Cert of Payment'!C14" display="Info Only: Retainage Withheld" xr:uid="{00000000-0004-0000-0800-00000B000000}"/>
    <hyperlink ref="H13" location="'App and Cert of Payment'!C15" display="Info Only: Available Balance" xr:uid="{00000000-0004-0000-0800-00000C000000}"/>
    <hyperlink ref="H14" location="'App and Cert of Payment'!C17" display="Info Only: Costs Incurred During Period" xr:uid="{00000000-0004-0000-0800-00000D000000}"/>
    <hyperlink ref="H15" location="'App and Cert of Payment'!C18" display="Info Only:  Less retainage if NOT final draw, plus retainage if final draw" xr:uid="{00000000-0004-0000-0800-00000E000000}"/>
    <hyperlink ref="H16" location="'App and Cert of Payment'!C19" display="Info Only: Amount Requested for current draw number" xr:uid="{00000000-0004-0000-0800-00000F000000}"/>
    <hyperlink ref="H17" location="'App and Cert of Payment'!C21" display="Info Only: Total Match Required" xr:uid="{00000000-0004-0000-0800-000010000000}"/>
    <hyperlink ref="H18" location="'App and Cert of Payment'!C22" display="Info Only: Match Provided to Date" xr:uid="{00000000-0004-0000-0800-000011000000}"/>
    <hyperlink ref="H19" location="'App and Cert of Payment'!C23" display="Info Only: Balance of Match" xr:uid="{00000000-0004-0000-0800-000012000000}"/>
    <hyperlink ref="H20" location="'App and Cert of Payment'!A24" display="Certification Statement" xr:uid="{00000000-0004-0000-0800-000013000000}"/>
    <hyperlink ref="A1" location="'App and Cert of Payment'!H1" display="Link to Navigation Panel" xr:uid="{00000000-0004-0000-0800-000014000000}"/>
  </hyperlinks>
  <pageMargins left="0.25" right="0.25" top="0.25" bottom="0.2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53</vt:i4>
      </vt:variant>
    </vt:vector>
  </HeadingPairs>
  <TitlesOfParts>
    <vt:vector size="64" baseType="lpstr">
      <vt:lpstr>Table of Contents</vt:lpstr>
      <vt:lpstr>Budget Prep Instructions-Set-Up</vt:lpstr>
      <vt:lpstr>Final Budget</vt:lpstr>
      <vt:lpstr>Final Budget Hidden Tab</vt:lpstr>
      <vt:lpstr>Draw Request Document Checklist</vt:lpstr>
      <vt:lpstr>Draw Request Instructions</vt:lpstr>
      <vt:lpstr>Draw Request</vt:lpstr>
      <vt:lpstr>App and Cert Instructions</vt:lpstr>
      <vt:lpstr>App and Cert for Payment</vt:lpstr>
      <vt:lpstr>Budget Revision Instructions</vt:lpstr>
      <vt:lpstr>Budget Revision</vt:lpstr>
      <vt:lpstr>ACQ_REFI_ROW</vt:lpstr>
      <vt:lpstr>Beginning_of_Final_Budget_Form</vt:lpstr>
      <vt:lpstr>BEGINNING_OF_MATCH_AND_DRAW</vt:lpstr>
      <vt:lpstr>BUDGET_REMAINING_COLUMN</vt:lpstr>
      <vt:lpstr>'Budget Revision'!C_0_1</vt:lpstr>
      <vt:lpstr>'Budget Revision'!C_O_1_TOTAL</vt:lpstr>
      <vt:lpstr>'Budget Revision'!C_O_2</vt:lpstr>
      <vt:lpstr>'Budget Revision'!C_O_2_TOTAL</vt:lpstr>
      <vt:lpstr>'Budget Revision'!C_O_3</vt:lpstr>
      <vt:lpstr>'Budget Revision'!C_O_3_TOTAL</vt:lpstr>
      <vt:lpstr>'Budget Revision'!C_O_4</vt:lpstr>
      <vt:lpstr>'Budget Revision'!C_O_4_Total</vt:lpstr>
      <vt:lpstr>CLOSING_COSTS_ROW</vt:lpstr>
      <vt:lpstr>CONSTRUCTION_COSTS_ROW</vt:lpstr>
      <vt:lpstr>COST_PER_SQ_FOOT</vt:lpstr>
      <vt:lpstr>DRAW_LOG_TDHCA_USE_ONLY</vt:lpstr>
      <vt:lpstr>Draw_Req_LOG</vt:lpstr>
      <vt:lpstr>DRAW_REQUEST_NAVIGATION_LINKS</vt:lpstr>
      <vt:lpstr>Eligibility_Criteria</vt:lpstr>
      <vt:lpstr>Final_Budget_Navigation_Links</vt:lpstr>
      <vt:lpstr>HOME_BUDGET_COLUMN</vt:lpstr>
      <vt:lpstr>HOME_COST_PER_SQUARE_FOOT</vt:lpstr>
      <vt:lpstr>HOME_COSTS_INCURRED</vt:lpstr>
      <vt:lpstr>HOME_COSTS_INCURRED_COLUMN</vt:lpstr>
      <vt:lpstr>MATCH_LEVERAGE_BUDGET_COLUMN</vt:lpstr>
      <vt:lpstr>MATCH_LOG</vt:lpstr>
      <vt:lpstr>Match_log_TDHCA_USE_ONLY</vt:lpstr>
      <vt:lpstr>MATCH_PROVIDED_COLUMN</vt:lpstr>
      <vt:lpstr>MATCH_REMAINING_COLUMN</vt:lpstr>
      <vt:lpstr>MATCH_SOURCE_COLUMN</vt:lpstr>
      <vt:lpstr>Navigation_Links_FINAL</vt:lpstr>
      <vt:lpstr>'App and Cert for Payment'!Print_Area</vt:lpstr>
      <vt:lpstr>'Budget Revision'!Print_Area</vt:lpstr>
      <vt:lpstr>'Draw Request'!Print_Area</vt:lpstr>
      <vt:lpstr>'Draw Request Document Checklist'!Print_Area</vt:lpstr>
      <vt:lpstr>'Final Budget'!Print_Area</vt:lpstr>
      <vt:lpstr>'Table of Contents'!Print_Area</vt:lpstr>
      <vt:lpstr>Project_Budget_Column</vt:lpstr>
      <vt:lpstr>REQUEST_LESS_RETAINAGE_COLUMN</vt:lpstr>
      <vt:lpstr>REQUEST_LESS_RETAINIAGE_LOG</vt:lpstr>
      <vt:lpstr>RETAINAIGE_HELD_COLUMN</vt:lpstr>
      <vt:lpstr>'Budget Revision'!REV_NAV_LINKS</vt:lpstr>
      <vt:lpstr>SOFT_COSTS_ROW</vt:lpstr>
      <vt:lpstr>TOTAL_COST_INCURRED_LOG</vt:lpstr>
      <vt:lpstr>TOTAL_HOME_BUDGET</vt:lpstr>
      <vt:lpstr>TOTAL_HOME_FUNDS_DRAWN</vt:lpstr>
      <vt:lpstr>TOTAL_MATCH_BUDGETED</vt:lpstr>
      <vt:lpstr>TOTAL_MATCH_PROVIDED</vt:lpstr>
      <vt:lpstr>TOTAL_MATCH_PROVIDED_LOG</vt:lpstr>
      <vt:lpstr>TOTAL_PROJECT_COST</vt:lpstr>
      <vt:lpstr>TOTAL_REMAINING_BUDGET</vt:lpstr>
      <vt:lpstr>TOTAL_REMAINING_BUDGET_COLUMN</vt:lpstr>
      <vt:lpstr>TOTAL_RETAINAGE_LOG</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Set-up and Draw Workbook</dc:title>
  <dc:creator>TDHCA</dc:creator>
  <cp:lastModifiedBy>Chad Landry</cp:lastModifiedBy>
  <cp:lastPrinted>2025-02-20T17:23:08Z</cp:lastPrinted>
  <dcterms:created xsi:type="dcterms:W3CDTF">2012-11-12T20:44:49Z</dcterms:created>
  <dcterms:modified xsi:type="dcterms:W3CDTF">2025-03-05T16:51:33Z</dcterms:modified>
</cp:coreProperties>
</file>