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T:\ca\catr\WAP\Website\Posted\Program Guidance Webpage\4. Program Forms\3-Assessment Calculators\"/>
    </mc:Choice>
  </mc:AlternateContent>
  <xr:revisionPtr revIDLastSave="0" documentId="13_ncr:1_{CC7D93C4-AAAB-46BE-84D3-36DDE568AEB9}" xr6:coauthVersionLast="47" xr6:coauthVersionMax="47" xr10:uidLastSave="{00000000-0000-0000-0000-000000000000}"/>
  <bookViews>
    <workbookView xWindow="-108" yWindow="-108" windowWidth="23256" windowHeight="12576" xr2:uid="{00000000-000D-0000-FFFF-FFFF00000000}"/>
  </bookViews>
  <sheets>
    <sheet name="Central HVAC Degradation Calc" sheetId="5" r:id="rId1"/>
    <sheet name="RAC Degradation Calc" sheetId="4" r:id="rId2"/>
    <sheet name="Sheet1" sheetId="2" state="hidden" r:id="rId3"/>
    <sheet name="Sheet2" sheetId="3" state="hidden" r:id="rId4"/>
  </sheets>
  <definedNames>
    <definedName name="CavityDepth">#REF!</definedName>
    <definedName name="Density">#REF!</definedName>
    <definedName name="_xlnm.Print_Area" localSheetId="0">'Central HVAC Degradation Calc'!$A$1:$J$46</definedName>
    <definedName name="_xlnm.Print_Area" localSheetId="1">'RAC Degradation Calc'!$A$1:$D$43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5" l="1"/>
  <c r="A39" i="5"/>
  <c r="I35" i="5"/>
  <c r="I34" i="5"/>
  <c r="I33" i="5" s="1"/>
  <c r="J33" i="5"/>
  <c r="F32" i="5"/>
  <c r="E32" i="5"/>
  <c r="D32" i="5"/>
  <c r="G32" i="5" s="1"/>
  <c r="C32" i="5"/>
  <c r="C37" i="5" s="1"/>
  <c r="B32" i="5"/>
  <c r="A32" i="5"/>
  <c r="B39" i="5" s="1"/>
  <c r="I21" i="5"/>
  <c r="J16" i="5"/>
  <c r="H15" i="5"/>
  <c r="I16" i="5" s="1"/>
  <c r="A15" i="5"/>
  <c r="I13" i="5"/>
  <c r="I12" i="5" s="1"/>
  <c r="H13" i="5"/>
  <c r="F13" i="5"/>
  <c r="E13" i="5"/>
  <c r="D13" i="5"/>
  <c r="G13" i="5" s="1"/>
  <c r="H14" i="5" s="1"/>
  <c r="C13" i="5"/>
  <c r="B13" i="5"/>
  <c r="A13" i="5"/>
  <c r="A21" i="5" s="1"/>
  <c r="B34" i="4"/>
  <c r="C40" i="4" s="1"/>
  <c r="D38" i="4" s="1"/>
  <c r="B29" i="4"/>
  <c r="B30" i="4" s="1"/>
  <c r="D40" i="4" s="1"/>
  <c r="C10" i="4"/>
  <c r="B14" i="4" s="1"/>
  <c r="D18" i="4" s="1"/>
  <c r="D19" i="4" s="1"/>
  <c r="D20" i="4" s="1"/>
  <c r="D39" i="5" l="1"/>
  <c r="C19" i="5"/>
  <c r="G15" i="5"/>
  <c r="B19" i="5"/>
  <c r="C21" i="5"/>
  <c r="C40" i="5"/>
  <c r="C39" i="5"/>
  <c r="G39" i="5"/>
  <c r="A37" i="5"/>
  <c r="B40" i="5"/>
  <c r="B37" i="5"/>
  <c r="H37" i="5" s="1"/>
  <c r="A19" i="5"/>
  <c r="H20" i="5" s="1"/>
  <c r="B21" i="5" s="1"/>
  <c r="D21" i="5" s="1"/>
  <c r="J21" i="5" s="1"/>
  <c r="H22" i="5" s="1"/>
  <c r="A10" i="5"/>
  <c r="H38" i="5" l="1"/>
  <c r="D40" i="5"/>
  <c r="G40" i="5" s="1"/>
  <c r="H39" i="5"/>
  <c r="H41" i="5" s="1"/>
  <c r="H40" i="5" l="1"/>
  <c r="H42" i="5" s="1"/>
  <c r="H7" i="2" l="1"/>
  <c r="F7" i="2"/>
  <c r="E7" i="2"/>
  <c r="D7" i="2"/>
  <c r="C7" i="2"/>
  <c r="B7" i="2"/>
  <c r="A7" i="2"/>
  <c r="G7" i="2" l="1"/>
  <c r="J5" i="2" l="1"/>
  <c r="J7" i="2" l="1"/>
  <c r="H5" i="2"/>
  <c r="I5" i="2" s="1"/>
</calcChain>
</file>

<file path=xl/sharedStrings.xml><?xml version="1.0" encoding="utf-8"?>
<sst xmlns="http://schemas.openxmlformats.org/spreadsheetml/2006/main" count="239" uniqueCount="184">
  <si>
    <t>http://www.nrel.gov/docs/fy06osti/38238.pdf</t>
  </si>
  <si>
    <t>Age = Age of equipment in years.</t>
  </si>
  <si>
    <t>M = Maintenance Factor</t>
  </si>
  <si>
    <t>EFF = (Base EFF) * (1-M)^age</t>
  </si>
  <si>
    <t>Maintenance Factor</t>
  </si>
  <si>
    <t>Enter the estimated maintenance done on the unit. Choose one of two options.</t>
  </si>
  <si>
    <t>Electric-resistance baseboard heating</t>
  </si>
  <si>
    <t>Electric-resistance furnace or boiler, unconditioned space</t>
  </si>
  <si>
    <t>Enter this information if it can be found on the information plate.</t>
  </si>
  <si>
    <t>Electric-resistance furnace or boiler, conditioned space</t>
  </si>
  <si>
    <t>Oil steam boiler</t>
  </si>
  <si>
    <t>Oil hot water boiler, forced-draft combustion</t>
  </si>
  <si>
    <t>Oil furnace, conventional burner, no vent dampers, in conditioned space</t>
  </si>
  <si>
    <t>Oil furnace, flame-retention burner, vent dampers, in conditioned space</t>
  </si>
  <si>
    <t>Base AFUE = Typical efficiency of Pre-Retrofit equipment when new</t>
  </si>
  <si>
    <t>Direct evaporative cooling</t>
  </si>
  <si>
    <t>Gas space heater, gravity type</t>
  </si>
  <si>
    <t xml:space="preserve">AFUE = (Base AFUE) * (1-M)^age </t>
  </si>
  <si>
    <t>Room electric heat pump, louvered sides, single-speed compressor, PSC fan motor, ≥20,000 Btu/hr</t>
  </si>
  <si>
    <t>Gas space heater, fan type</t>
  </si>
  <si>
    <t>The degraded AFUE will be autocalculated using the info input throughout the form.</t>
  </si>
  <si>
    <t>Degraded AFUE/Efficiency</t>
  </si>
  <si>
    <t>Room electric heat pump, louvered sides, single-speed compressor, PSC fan motor, &lt; 20,000 Btu/hr</t>
  </si>
  <si>
    <t>Gas boiler / tankless coil combo system</t>
  </si>
  <si>
    <t>Room air conditioner, louvered sides, cooling only, single-speed compressor, PSC fan motor, (before 1981)</t>
  </si>
  <si>
    <t>Gas hot water / fan-coil combo system</t>
  </si>
  <si>
    <t>Room air conditioner, louvered sides, cooling only, single-speed compressor, PSC fan motor, (1981-1991)</t>
  </si>
  <si>
    <t>Condensing gas boiler</t>
  </si>
  <si>
    <t>Room air conditioner, louvered sides, cooling only, single-speed compressor, PSC fan motor,</t>
  </si>
  <si>
    <t>Gas steam boiler</t>
  </si>
  <si>
    <t>Gas hot water boiler, natural-draft combustion, standing pilot light</t>
  </si>
  <si>
    <t>Degradation of Heating Systems</t>
  </si>
  <si>
    <t>Packaged heat pump, singlespeed reciprocating compressor, PSC air-handler motor</t>
  </si>
  <si>
    <t>Gas furnace, natural-draft combustion, standing pilot light, no vent damper, in unconditioned space</t>
  </si>
  <si>
    <t>Packaged central air conditioner, single-speed reciprocating compressor, PSC air-handler motor</t>
  </si>
  <si>
    <t>Gas furnace, natural-draft combustion, standing pilot light, in conditioned space</t>
  </si>
  <si>
    <t>Enter the current calendar year at the time of intial assessment.</t>
  </si>
  <si>
    <t>Current Calendar Year</t>
  </si>
  <si>
    <t>Split heat pump, single-speed reciprocating compressor, PSC air-handler motor (before 1981)</t>
  </si>
  <si>
    <t>Gas furnace, natural-draft combustion, vent damper, electronic ignition, in conditioned space</t>
  </si>
  <si>
    <t>Split heat pump, single-speed reciprocating compressor, PSC air-handler motor (1981-1991)</t>
  </si>
  <si>
    <t>Gas furnace, direct-vent or forceddraft combustion, electronic ignition, in conditioned space</t>
  </si>
  <si>
    <t>Job #</t>
  </si>
  <si>
    <t>Split heat pump, single-speed reciprocating compressor, PSC air-handler motor (after 1991)</t>
  </si>
  <si>
    <t>Condensing gas furnace</t>
  </si>
  <si>
    <t>Client Name</t>
  </si>
  <si>
    <t>Base HSPF</t>
  </si>
  <si>
    <t>Base EER</t>
  </si>
  <si>
    <t>Base SEER</t>
  </si>
  <si>
    <t>Type of Air Conditioning or Heat-Pump Equipment</t>
  </si>
  <si>
    <t>Base AFUE</t>
  </si>
  <si>
    <t>Type of Heating Equipment</t>
  </si>
  <si>
    <t>Degradation Calculator Instructions</t>
  </si>
  <si>
    <t>Year of System</t>
  </si>
  <si>
    <t>Typical SEER</t>
  </si>
  <si>
    <t>Split  central  air  conditioner,  two - speed  reciprocating compressor,   electronically   commutated   air   handler motor  (ECM),  thermostatic  expansion  valve  (TXV),  fan 
coil</t>
  </si>
  <si>
    <t>Split    central    air    conditioner,    single - speed    scroll compressor, ECM air handler motor, cased coil</t>
  </si>
  <si>
    <t>Split  central  air  conditioner,  single
- speed  reciprocating compressor,  PSC  air-handler  motor,  cased  coil  (after 
1991)</t>
  </si>
  <si>
    <t>Split  central  air  conditioner,  single
-speed  reciprocating compressor,  PSC  air-handler  motor,  cased  coil  (1981
-1991)</t>
  </si>
  <si>
    <t>Split  central  air  conditioner,  single
-speed  reciprocating compressor,  PSC  air-handler  motor,  cased  coil  (before 
1981)</t>
  </si>
  <si>
    <t>Split  heat  pump,  single-speed  scroll  compressor,  ECM air handler motor, TXV valve</t>
  </si>
  <si>
    <t>Source: 
http://www.nrel.gov/docs/fy06osti/38238.pdf</t>
  </si>
  <si>
    <t>Degradation of Central Air Conditioning Systems</t>
  </si>
  <si>
    <t>Table 1</t>
  </si>
  <si>
    <t>Table 2</t>
  </si>
  <si>
    <t>Table 3</t>
  </si>
  <si>
    <t>Pre-1980</t>
  </si>
  <si>
    <t>The degraded SEER/EER will be autocalculated using the info input throughout the form.</t>
  </si>
  <si>
    <t>Verify auto-population with Table 3 to the right.</t>
  </si>
  <si>
    <t>Funding Source</t>
  </si>
  <si>
    <t xml:space="preserve">Furnace Type </t>
  </si>
  <si>
    <t>AFUE/Efficiency</t>
  </si>
  <si>
    <t>Enter the documented Manufactured Year of the existing unit.</t>
  </si>
  <si>
    <t>Select funding source(s) to be used to weatherize the unit</t>
  </si>
  <si>
    <t>Select the type furcentral furnace in the unit to be weatherized.</t>
  </si>
  <si>
    <t>Enter the AFUE of the existing furnace from combustion analyzer efficiency reading.</t>
  </si>
  <si>
    <t>Automated selection based on DOE guidelines</t>
  </si>
  <si>
    <r>
      <t>Manufactured Year</t>
    </r>
    <r>
      <rPr>
        <sz val="10"/>
        <rFont val="Calibri"/>
        <family val="2"/>
      </rPr>
      <t xml:space="preserve"> (found on name plate in the serial number)</t>
    </r>
  </si>
  <si>
    <r>
      <rPr>
        <sz val="12"/>
        <rFont val="Calibri"/>
        <family val="2"/>
        <scheme val="minor"/>
      </rPr>
      <t>Manufactured Year</t>
    </r>
    <r>
      <rPr>
        <sz val="11.5"/>
        <rFont val="Calibri"/>
        <family val="2"/>
        <scheme val="minor"/>
      </rPr>
      <t xml:space="preserve"> </t>
    </r>
    <r>
      <rPr>
        <i/>
        <sz val="10"/>
        <rFont val="Calibri"/>
        <family val="2"/>
        <scheme val="minor"/>
      </rPr>
      <t xml:space="preserve">(found on the plate or </t>
    </r>
    <r>
      <rPr>
        <i/>
        <u/>
        <sz val="10"/>
        <color rgb="FF0000FF"/>
        <rFont val="Calibri"/>
        <family val="2"/>
        <scheme val="minor"/>
      </rPr>
      <t>Building Intelligence Center</t>
    </r>
    <r>
      <rPr>
        <i/>
        <sz val="10"/>
        <rFont val="Calibri"/>
        <family val="2"/>
        <scheme val="minor"/>
      </rPr>
      <t>)</t>
    </r>
  </si>
  <si>
    <t>The Maintenance Factor will be automatically determined based on the selections above.</t>
  </si>
  <si>
    <t xml:space="preserve">Base EFF = Typical efficiency of equipment when new (SEER,
EER, or HSPF) </t>
  </si>
  <si>
    <t>Central Heating &amp; Cooling Degradation Calculator</t>
  </si>
  <si>
    <t xml:space="preserve">Cooling Equipment Type </t>
  </si>
  <si>
    <t>Conditioned space</t>
  </si>
  <si>
    <t>Unconditioned space</t>
  </si>
  <si>
    <t>H12</t>
  </si>
  <si>
    <t>AFUE/Efficiency - Gas Furnace</t>
  </si>
  <si>
    <t>A13</t>
  </si>
  <si>
    <t>B13</t>
  </si>
  <si>
    <t>C13</t>
  </si>
  <si>
    <t>D13</t>
  </si>
  <si>
    <t>E13</t>
  </si>
  <si>
    <t>F13</t>
  </si>
  <si>
    <t>G13</t>
  </si>
  <si>
    <t>H13</t>
  </si>
  <si>
    <t>J13</t>
  </si>
  <si>
    <t>I&amp;J12</t>
  </si>
  <si>
    <t>Electric Resistance Furnace (Base Efficiency)</t>
  </si>
  <si>
    <r>
      <t xml:space="preserve">Gas Unit </t>
    </r>
    <r>
      <rPr>
        <b/>
        <i/>
        <sz val="10"/>
        <color rgb="FFFF0000"/>
        <rFont val="Calibri"/>
        <family val="2"/>
        <scheme val="minor"/>
      </rPr>
      <t>(required from combustion analyzer efficiency reading)</t>
    </r>
  </si>
  <si>
    <r>
      <t xml:space="preserve">Heat Pump (Base HSPF) </t>
    </r>
    <r>
      <rPr>
        <b/>
        <i/>
        <sz val="12"/>
        <color rgb="FFFF0000"/>
        <rFont val="Calibri"/>
        <family val="2"/>
        <scheme val="minor"/>
      </rPr>
      <t>(If unknown leave blank)</t>
    </r>
  </si>
  <si>
    <t xml:space="preserve">Equipment Maintenance </t>
  </si>
  <si>
    <t xml:space="preserve">Maintenance Factor </t>
  </si>
  <si>
    <t>Select Furnace Type</t>
  </si>
  <si>
    <t>Select Funding Source</t>
  </si>
  <si>
    <t>Select Furnace Location</t>
  </si>
  <si>
    <t>WPN-23-6</t>
  </si>
  <si>
    <t xml:space="preserve">For best accessibility, use the arrow keys to navigate through this form. </t>
  </si>
  <si>
    <t>LIHEAP WAP Replacement Tool for Window AC</t>
  </si>
  <si>
    <t>Room AC Replacement Form Instructions</t>
  </si>
  <si>
    <t>Which RAC are you evaluating?</t>
  </si>
  <si>
    <t>Option 1</t>
  </si>
  <si>
    <t xml:space="preserve">Existing </t>
  </si>
  <si>
    <t>Replacement</t>
  </si>
  <si>
    <t>Time metered</t>
  </si>
  <si>
    <t xml:space="preserve">kWh Reading </t>
  </si>
  <si>
    <t>Hours in a year</t>
  </si>
  <si>
    <t>Annual Usage</t>
  </si>
  <si>
    <t>Cost of Replacement</t>
  </si>
  <si>
    <t>The Results are shown as follows</t>
  </si>
  <si>
    <t>Annual Savings</t>
  </si>
  <si>
    <t>Expected Life Savings</t>
  </si>
  <si>
    <t>Savings to Investment Ratio (SIR)</t>
  </si>
  <si>
    <t>If the SIR is 1 or greater, replace the unit</t>
  </si>
  <si>
    <t>Option 2</t>
  </si>
  <si>
    <t>Option 2 Instructions - Enter this information if it can be found on the information plate.</t>
  </si>
  <si>
    <r>
      <t>Manufactured Year</t>
    </r>
    <r>
      <rPr>
        <b/>
        <sz val="10"/>
        <rFont val="Calibri"/>
        <family val="2"/>
      </rPr>
      <t xml:space="preserve"> (found on the plate)</t>
    </r>
  </si>
  <si>
    <t>Enter the Manufactured Year of the existing unit.</t>
  </si>
  <si>
    <r>
      <t>EER</t>
    </r>
    <r>
      <rPr>
        <b/>
        <sz val="10"/>
        <rFont val="Calibri"/>
        <family val="2"/>
      </rPr>
      <t xml:space="preserve"> (found on the plate)</t>
    </r>
  </si>
  <si>
    <t>Equipment Maintenance</t>
  </si>
  <si>
    <t>The Maintenance Factor will be automatically determined based on the selection above.</t>
  </si>
  <si>
    <t>Degraded EER</t>
  </si>
  <si>
    <t>The degraded EER will be autocalculated using the info input throughout the form.</t>
  </si>
  <si>
    <t>Enter this information if you cannot find the EER on the information plate</t>
  </si>
  <si>
    <t>BTUs</t>
  </si>
  <si>
    <t>Amps (actual metering)</t>
  </si>
  <si>
    <t>Enter the watts as found on the information plate.  If the watts cannot be found the assessor must use a meter that is able to calculate watts.  Assessors must enter the watts as found the consumption meter.</t>
  </si>
  <si>
    <t>Volts (110 or 220)</t>
  </si>
  <si>
    <t>Enter the amps as found on the information plate.  If the amps cannot be found the assessor must use a meter that is able to calculate amps.  Assessors must enter the amps as found the consumption meter.</t>
  </si>
  <si>
    <t>Enter 110 or 220 based on the sized of the out let.  The regular outlet used 110 volts.</t>
  </si>
  <si>
    <t>% decrease using amps</t>
  </si>
  <si>
    <t>% decrease using amps.  If the % is ≥ 25 the unit may be replaced.</t>
  </si>
  <si>
    <t>If the % decrease is 25% or more, replace the unit</t>
  </si>
  <si>
    <t>% EER increase using plate</t>
  </si>
  <si>
    <t>% increase using the EER on the plate.  If the % is ≥ 25 the unit may be replaced.</t>
  </si>
  <si>
    <t>If the EER increase is 25% or more, replace the unit</t>
  </si>
  <si>
    <t>These units are 110 volts</t>
  </si>
  <si>
    <t>Area to be Cooled (sq ft)</t>
  </si>
  <si>
    <t>Cooling Capacity (BTUs)</t>
  </si>
  <si>
    <t>100-150</t>
  </si>
  <si>
    <t>150-250</t>
  </si>
  <si>
    <t>250-300</t>
  </si>
  <si>
    <t>300-350</t>
  </si>
  <si>
    <t>350-400</t>
  </si>
  <si>
    <t>400-450</t>
  </si>
  <si>
    <t>450-550</t>
  </si>
  <si>
    <t>550-700</t>
  </si>
  <si>
    <t>These units are 220 volts</t>
  </si>
  <si>
    <t>700-1000</t>
  </si>
  <si>
    <t>1000-1200</t>
  </si>
  <si>
    <t>1200-1400</t>
  </si>
  <si>
    <t>1400-1500</t>
  </si>
  <si>
    <t>Table is provided by Friedrich Air Conditioning</t>
  </si>
  <si>
    <t>Chart is based normal insulation and 2 person occupancy</t>
  </si>
  <si>
    <t>EER2 Rating</t>
  </si>
  <si>
    <t>EER Rating</t>
  </si>
  <si>
    <t>Rev. 06/25/2025</t>
  </si>
  <si>
    <t xml:space="preserve">SEER2 </t>
  </si>
  <si>
    <t xml:space="preserve">SEER2 (Existing SEER2 Conversion) (Units Man. After 2023) </t>
  </si>
  <si>
    <r>
      <t xml:space="preserve">SEER </t>
    </r>
    <r>
      <rPr>
        <i/>
        <sz val="12"/>
        <rFont val="Calibri"/>
        <family val="2"/>
        <scheme val="minor"/>
      </rPr>
      <t xml:space="preserve">(found on the plate) </t>
    </r>
    <r>
      <rPr>
        <b/>
        <i/>
        <sz val="12"/>
        <color rgb="FFFF0000"/>
        <rFont val="Calibri"/>
        <family val="2"/>
        <scheme val="minor"/>
      </rPr>
      <t>(if unknown leave blank)</t>
    </r>
  </si>
  <si>
    <t>Degraded SEER</t>
  </si>
  <si>
    <t>Degraded SEER2</t>
  </si>
  <si>
    <t xml:space="preserve">Statewide Average </t>
  </si>
  <si>
    <t>Replacement of RACs must be justified with either Option 1 or 2 per RAC. Replacement of RACs without proper justification using this tool will result in disallowed costs.</t>
  </si>
  <si>
    <t xml:space="preserve">For LIHEAP units that do not meet the manufactured date criteria within PL utilize this calculator. </t>
  </si>
  <si>
    <t>•</t>
  </si>
  <si>
    <t xml:space="preserve">Enter the EER/EER2 of the existing unit.  Enter the EER/EER2 of the new replacement unit. Utilize EER/EER2 Table below when applicable. </t>
  </si>
  <si>
    <t>Enter the EER2 of the new replacement unit.</t>
  </si>
  <si>
    <t xml:space="preserve">Enter the BTU's of the existing unit if it can be found on the information plate.  If it cannot be found the assessor must estimate and take a photo of the unit.  Window units using a regular outlet range (110v) from 5,000 BTUs to 24,000 BTUs.  </t>
  </si>
  <si>
    <t xml:space="preserve">EER to EER2 Conversion Table </t>
  </si>
  <si>
    <t>Select Appropriate Maintenance Level</t>
  </si>
  <si>
    <t xml:space="preserve">If existing unit is manufactured after 2023 they are subject to SEER2 ratings. </t>
  </si>
  <si>
    <t>Select Equipment Maintenance Factor</t>
  </si>
  <si>
    <t xml:space="preserve">(Units Man. After 2023) </t>
  </si>
  <si>
    <t>Select Cooling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</si>
</sst>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0_);\(0\)"/>
    <numFmt numFmtId="165" formatCode="0.000"/>
    <numFmt numFmtId="166" formatCode="0.0%"/>
    <numFmt numFmtId="167" formatCode="0.0"/>
    <numFmt numFmtId="168" formatCode="&quot;$&quot;#,##0.00"/>
    <numFmt numFmtId="169" formatCode="#,##0.0_);\(#,##0.0\)"/>
  </numFmts>
  <fonts count="42" x14ac:knownFonts="1">
    <font>
      <sz val="11"/>
      <color theme="1"/>
      <name val="Calibri"/>
      <family val="2"/>
      <scheme val="minor"/>
    </font>
    <font>
      <sz val="11"/>
      <color theme="1"/>
      <name val="Calibri"/>
      <family val="2"/>
      <scheme val="minor"/>
    </font>
    <font>
      <sz val="10"/>
      <name val="Calibri"/>
      <family val="2"/>
      <scheme val="minor"/>
    </font>
    <font>
      <u/>
      <sz val="10"/>
      <color theme="10"/>
      <name val="Arial"/>
      <family val="2"/>
    </font>
    <font>
      <sz val="11"/>
      <name val="Calibri"/>
      <family val="2"/>
      <scheme val="minor"/>
    </font>
    <font>
      <b/>
      <sz val="12"/>
      <color indexed="10"/>
      <name val="Calibri"/>
      <family val="2"/>
      <scheme val="minor"/>
    </font>
    <font>
      <b/>
      <sz val="12"/>
      <name val="Calibri"/>
      <family val="2"/>
      <scheme val="minor"/>
    </font>
    <font>
      <sz val="12"/>
      <name val="Calibri"/>
      <family val="2"/>
      <scheme val="minor"/>
    </font>
    <font>
      <b/>
      <sz val="10"/>
      <name val="Calibri"/>
      <family val="2"/>
      <scheme val="minor"/>
    </font>
    <font>
      <sz val="10"/>
      <color theme="0"/>
      <name val="Calibri"/>
      <family val="2"/>
      <scheme val="minor"/>
    </font>
    <font>
      <b/>
      <sz val="14"/>
      <name val="Calibri"/>
      <family val="2"/>
      <scheme val="minor"/>
    </font>
    <font>
      <sz val="11.5"/>
      <name val="Calibri"/>
      <family val="2"/>
      <scheme val="minor"/>
    </font>
    <font>
      <sz val="10"/>
      <name val="Calibri"/>
      <family val="2"/>
    </font>
    <font>
      <i/>
      <sz val="10"/>
      <name val="Calibri"/>
      <family val="2"/>
      <scheme val="minor"/>
    </font>
    <font>
      <u/>
      <sz val="11.5"/>
      <color theme="10"/>
      <name val="Calibri"/>
      <family val="2"/>
      <scheme val="minor"/>
    </font>
    <font>
      <i/>
      <u/>
      <sz val="10"/>
      <color rgb="FF0000FF"/>
      <name val="Calibri"/>
      <family val="2"/>
      <scheme val="minor"/>
    </font>
    <font>
      <i/>
      <sz val="12"/>
      <name val="Calibri"/>
      <family val="2"/>
      <scheme val="minor"/>
    </font>
    <font>
      <sz val="10"/>
      <color theme="5"/>
      <name val="Calibri"/>
      <family val="2"/>
      <scheme val="minor"/>
    </font>
    <font>
      <sz val="11"/>
      <color rgb="FF9BBB59"/>
      <name val="Calibri"/>
      <family val="2"/>
      <scheme val="minor"/>
    </font>
    <font>
      <b/>
      <i/>
      <sz val="10"/>
      <color rgb="FFFF0000"/>
      <name val="Calibri"/>
      <family val="2"/>
      <scheme val="minor"/>
    </font>
    <font>
      <b/>
      <i/>
      <sz val="12"/>
      <color rgb="FFFF0000"/>
      <name val="Calibri"/>
      <family val="2"/>
      <scheme val="minor"/>
    </font>
    <font>
      <sz val="10"/>
      <color rgb="FF3333FF"/>
      <name val="Calibri"/>
      <family val="2"/>
      <scheme val="minor"/>
    </font>
    <font>
      <sz val="12"/>
      <color rgb="FF3333FF"/>
      <name val="Calibri"/>
      <family val="2"/>
      <scheme val="minor"/>
    </font>
    <font>
      <sz val="11"/>
      <color rgb="FF3333FF"/>
      <name val="Calibri"/>
      <family val="2"/>
      <scheme val="minor"/>
    </font>
    <font>
      <sz val="11.5"/>
      <color rgb="FF3333FF"/>
      <name val="Calibri"/>
      <family val="2"/>
      <scheme val="minor"/>
    </font>
    <font>
      <b/>
      <sz val="12"/>
      <color rgb="FF3333FF"/>
      <name val="Calibri"/>
      <family val="2"/>
      <scheme val="minor"/>
    </font>
    <font>
      <b/>
      <u/>
      <sz val="11"/>
      <color rgb="FF0000FF"/>
      <name val="Calibri"/>
      <family val="2"/>
      <scheme val="minor"/>
    </font>
    <font>
      <b/>
      <sz val="12"/>
      <color rgb="FF0000FF"/>
      <name val="Calibri"/>
      <family val="2"/>
      <scheme val="minor"/>
    </font>
    <font>
      <sz val="10"/>
      <color rgb="FF0000FF"/>
      <name val="Calibri"/>
      <family val="2"/>
      <scheme val="minor"/>
    </font>
    <font>
      <sz val="11"/>
      <color rgb="FF0000FF"/>
      <name val="Calibri"/>
      <family val="2"/>
      <scheme val="minor"/>
    </font>
    <font>
      <b/>
      <sz val="11"/>
      <name val="Calibri"/>
      <family val="2"/>
      <scheme val="minor"/>
    </font>
    <font>
      <b/>
      <sz val="10"/>
      <color indexed="8"/>
      <name val="Calibri"/>
      <family val="2"/>
      <scheme val="minor"/>
    </font>
    <font>
      <sz val="10"/>
      <color indexed="10"/>
      <name val="Calibri"/>
      <family val="2"/>
      <scheme val="minor"/>
    </font>
    <font>
      <sz val="11"/>
      <color indexed="48"/>
      <name val="Calibri"/>
      <family val="2"/>
      <scheme val="minor"/>
    </font>
    <font>
      <sz val="12"/>
      <color indexed="8"/>
      <name val="Calibri"/>
      <family val="2"/>
      <scheme val="minor"/>
    </font>
    <font>
      <b/>
      <sz val="12"/>
      <color indexed="8"/>
      <name val="Calibri"/>
      <family val="2"/>
      <scheme val="minor"/>
    </font>
    <font>
      <sz val="9"/>
      <name val="Calibri"/>
      <family val="2"/>
      <scheme val="minor"/>
    </font>
    <font>
      <b/>
      <sz val="10"/>
      <name val="Calibri"/>
      <family val="2"/>
    </font>
    <font>
      <sz val="11"/>
      <color theme="0"/>
      <name val="Calibri"/>
      <family val="2"/>
      <scheme val="minor"/>
    </font>
    <font>
      <sz val="14"/>
      <color theme="1"/>
      <name val="Calibri"/>
      <family val="2"/>
      <scheme val="minor"/>
    </font>
    <font>
      <u/>
      <sz val="11"/>
      <color rgb="FF3333FF"/>
      <name val="Calibri"/>
      <family val="2"/>
      <scheme val="minor"/>
    </font>
    <font>
      <sz val="11"/>
      <color theme="5"/>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5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top style="dotted">
        <color indexed="64"/>
      </top>
      <bottom/>
      <diagonal/>
    </border>
    <border>
      <left/>
      <right/>
      <top style="medium">
        <color indexed="64"/>
      </top>
      <bottom/>
      <diagonal/>
    </border>
    <border>
      <left style="medium">
        <color indexed="64"/>
      </left>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06">
    <xf numFmtId="0" fontId="0" fillId="0" borderId="0" xfId="0"/>
    <xf numFmtId="0" fontId="2" fillId="0" borderId="2" xfId="0" applyFont="1" applyBorder="1" applyAlignment="1">
      <alignment horizontal="center" wrapText="1"/>
    </xf>
    <xf numFmtId="0" fontId="2" fillId="0" borderId="2" xfId="0" applyFont="1" applyBorder="1" applyAlignment="1">
      <alignment wrapText="1"/>
    </xf>
    <xf numFmtId="0" fontId="6" fillId="0" borderId="0" xfId="0" applyFont="1"/>
    <xf numFmtId="44" fontId="6" fillId="0" borderId="0" xfId="1" applyFont="1" applyFill="1" applyBorder="1" applyAlignment="1">
      <alignment vertical="center"/>
    </xf>
    <xf numFmtId="0" fontId="9" fillId="0" borderId="0" xfId="0" applyFont="1"/>
    <xf numFmtId="0" fontId="8" fillId="0" borderId="0" xfId="0" applyFont="1"/>
    <xf numFmtId="0" fontId="2" fillId="0" borderId="0" xfId="0" applyFont="1"/>
    <xf numFmtId="0" fontId="2" fillId="0" borderId="0" xfId="0" applyFont="1" applyAlignment="1">
      <alignment horizontal="center"/>
    </xf>
    <xf numFmtId="0" fontId="4" fillId="0" borderId="0" xfId="0" applyFont="1"/>
    <xf numFmtId="0" fontId="2" fillId="0" borderId="2" xfId="0" applyFont="1" applyBorder="1" applyAlignment="1">
      <alignment horizontal="center"/>
    </xf>
    <xf numFmtId="0" fontId="4" fillId="0" borderId="0" xfId="0" applyFont="1" applyAlignment="1">
      <alignment horizontal="left" vertical="center"/>
    </xf>
    <xf numFmtId="0" fontId="2" fillId="0" borderId="2" xfId="0" applyFont="1" applyBorder="1" applyAlignment="1">
      <alignment horizontal="left"/>
    </xf>
    <xf numFmtId="0" fontId="2" fillId="0" borderId="2" xfId="0" applyFont="1" applyBorder="1"/>
    <xf numFmtId="0" fontId="17" fillId="0" borderId="0" xfId="0" applyFont="1"/>
    <xf numFmtId="0" fontId="18" fillId="0" borderId="0" xfId="0" applyFont="1"/>
    <xf numFmtId="0" fontId="0" fillId="0" borderId="0" xfId="0" applyAlignment="1">
      <alignment horizontal="center"/>
    </xf>
    <xf numFmtId="0" fontId="0" fillId="0" borderId="0" xfId="0" applyAlignment="1">
      <alignment horizontal="center" vertical="center"/>
    </xf>
    <xf numFmtId="0" fontId="0" fillId="3" borderId="0" xfId="0" applyFill="1" applyAlignment="1">
      <alignment horizontal="center"/>
    </xf>
    <xf numFmtId="0" fontId="0" fillId="0" borderId="0" xfId="0" applyFill="1"/>
    <xf numFmtId="0" fontId="2" fillId="0" borderId="24" xfId="0" applyFont="1" applyBorder="1"/>
    <xf numFmtId="0" fontId="2" fillId="0" borderId="24" xfId="0" applyFont="1" applyBorder="1" applyAlignment="1">
      <alignment horizontal="center"/>
    </xf>
    <xf numFmtId="0" fontId="2" fillId="0" borderId="24" xfId="0" applyFont="1" applyBorder="1" applyAlignment="1">
      <alignment horizontal="left"/>
    </xf>
    <xf numFmtId="0" fontId="2" fillId="0" borderId="22" xfId="0" applyFont="1" applyBorder="1"/>
    <xf numFmtId="0" fontId="2" fillId="0" borderId="22" xfId="0" applyFont="1" applyBorder="1" applyAlignment="1">
      <alignment horizontal="center"/>
    </xf>
    <xf numFmtId="0" fontId="2" fillId="0" borderId="22" xfId="0" applyFont="1" applyBorder="1" applyAlignment="1">
      <alignment horizontal="left"/>
    </xf>
    <xf numFmtId="1" fontId="8" fillId="4" borderId="2" xfId="0" applyNumberFormat="1" applyFont="1" applyFill="1" applyBorder="1" applyAlignment="1" applyProtection="1">
      <alignment horizontal="center"/>
      <protection locked="0"/>
    </xf>
    <xf numFmtId="0" fontId="4" fillId="4" borderId="2" xfId="0" applyFont="1" applyFill="1" applyBorder="1" applyAlignment="1" applyProtection="1">
      <alignment horizontal="center" vertical="center"/>
      <protection locked="0"/>
    </xf>
    <xf numFmtId="2" fontId="7" fillId="4" borderId="2" xfId="0" applyNumberFormat="1" applyFont="1" applyFill="1" applyBorder="1" applyAlignment="1" applyProtection="1">
      <alignment horizontal="center"/>
      <protection locked="0"/>
    </xf>
    <xf numFmtId="166" fontId="7" fillId="4" borderId="2" xfId="0" applyNumberFormat="1" applyFont="1" applyFill="1" applyBorder="1" applyAlignment="1" applyProtection="1">
      <alignment horizontal="center"/>
      <protection locked="0"/>
    </xf>
    <xf numFmtId="0" fontId="2" fillId="0" borderId="0" xfId="0" applyFont="1" applyAlignment="1">
      <alignment horizontal="right"/>
    </xf>
    <xf numFmtId="0" fontId="2" fillId="0" borderId="0" xfId="0" applyFont="1" applyAlignment="1">
      <alignment horizontal="right" vertical="center"/>
    </xf>
    <xf numFmtId="0" fontId="21" fillId="0" borderId="0" xfId="0" applyFont="1"/>
    <xf numFmtId="0" fontId="21"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4" fontId="6" fillId="2" borderId="4" xfId="1" applyFont="1" applyFill="1" applyBorder="1" applyAlignment="1">
      <alignment vertical="center"/>
    </xf>
    <xf numFmtId="44" fontId="6" fillId="2" borderId="8" xfId="1" applyFont="1" applyFill="1" applyBorder="1" applyAlignment="1">
      <alignment vertical="center"/>
    </xf>
    <xf numFmtId="44" fontId="6" fillId="2" borderId="3" xfId="1" applyFont="1" applyFill="1" applyBorder="1" applyAlignment="1">
      <alignment vertical="center"/>
    </xf>
    <xf numFmtId="0" fontId="6" fillId="2" borderId="1" xfId="0" applyFont="1" applyFill="1" applyBorder="1" applyAlignment="1">
      <alignment horizontal="right"/>
    </xf>
    <xf numFmtId="0" fontId="6" fillId="2" borderId="33" xfId="0" applyFont="1" applyFill="1" applyBorder="1" applyAlignment="1">
      <alignment horizontal="right"/>
    </xf>
    <xf numFmtId="0" fontId="2" fillId="7" borderId="33" xfId="0" applyFont="1" applyFill="1" applyBorder="1"/>
    <xf numFmtId="0" fontId="2" fillId="7" borderId="31" xfId="0" applyFont="1" applyFill="1" applyBorder="1" applyAlignment="1">
      <alignment horizontal="left"/>
    </xf>
    <xf numFmtId="0" fontId="6" fillId="2" borderId="4" xfId="0" applyFont="1" applyFill="1" applyBorder="1"/>
    <xf numFmtId="0" fontId="6" fillId="2" borderId="8" xfId="0" applyFont="1" applyFill="1" applyBorder="1"/>
    <xf numFmtId="0" fontId="6" fillId="7" borderId="1" xfId="0" applyFont="1" applyFill="1" applyBorder="1"/>
    <xf numFmtId="0" fontId="6" fillId="7" borderId="0" xfId="0" applyFont="1" applyFill="1"/>
    <xf numFmtId="0" fontId="6" fillId="7" borderId="7" xfId="0" applyFont="1" applyFill="1" applyBorder="1"/>
    <xf numFmtId="0" fontId="6" fillId="2" borderId="35" xfId="0" applyFont="1" applyFill="1" applyBorder="1"/>
    <xf numFmtId="0" fontId="30" fillId="0" borderId="0" xfId="0" applyFont="1" applyAlignment="1">
      <alignment horizontal="left" vertical="top"/>
    </xf>
    <xf numFmtId="0" fontId="4" fillId="0" borderId="0" xfId="0" applyFont="1" applyAlignment="1">
      <alignment horizontal="left"/>
    </xf>
    <xf numFmtId="0" fontId="6" fillId="2" borderId="1" xfId="0" applyFont="1" applyFill="1" applyBorder="1"/>
    <xf numFmtId="43" fontId="2" fillId="2" borderId="0" xfId="0" applyNumberFormat="1" applyFont="1" applyFill="1" applyAlignment="1">
      <alignment horizontal="center"/>
    </xf>
    <xf numFmtId="0" fontId="6" fillId="2" borderId="36" xfId="0" applyFont="1" applyFill="1" applyBorder="1" applyAlignment="1">
      <alignment horizontal="center"/>
    </xf>
    <xf numFmtId="0" fontId="4" fillId="0" borderId="0" xfId="0" applyFont="1" applyAlignment="1">
      <alignment horizontal="left" vertical="top"/>
    </xf>
    <xf numFmtId="0" fontId="4" fillId="0" borderId="0" xfId="0" applyFont="1" applyAlignment="1">
      <alignment vertical="top"/>
    </xf>
    <xf numFmtId="0" fontId="6" fillId="2" borderId="7" xfId="0" applyFont="1" applyFill="1" applyBorder="1" applyAlignment="1">
      <alignment horizontal="center"/>
    </xf>
    <xf numFmtId="0" fontId="31" fillId="2" borderId="2" xfId="0" applyFont="1" applyFill="1" applyBorder="1" applyAlignment="1">
      <alignment horizontal="center"/>
    </xf>
    <xf numFmtId="0" fontId="6" fillId="2" borderId="37" xfId="0" applyFont="1" applyFill="1" applyBorder="1" applyAlignment="1">
      <alignment horizontal="center"/>
    </xf>
    <xf numFmtId="39" fontId="32" fillId="2" borderId="2" xfId="0" applyNumberFormat="1" applyFont="1" applyFill="1" applyBorder="1" applyAlignment="1">
      <alignment horizontal="center"/>
    </xf>
    <xf numFmtId="0" fontId="6" fillId="2" borderId="30" xfId="0" applyFont="1" applyFill="1" applyBorder="1" applyAlignment="1">
      <alignment horizontal="center"/>
    </xf>
    <xf numFmtId="0" fontId="2" fillId="2" borderId="0" xfId="0" applyFont="1" applyFill="1" applyAlignment="1">
      <alignment horizontal="center"/>
    </xf>
    <xf numFmtId="0" fontId="33" fillId="0" borderId="0" xfId="0" applyFont="1"/>
    <xf numFmtId="0" fontId="6" fillId="2" borderId="33" xfId="0" applyFont="1" applyFill="1" applyBorder="1"/>
    <xf numFmtId="0" fontId="8" fillId="2" borderId="31" xfId="0" applyFont="1" applyFill="1" applyBorder="1"/>
    <xf numFmtId="0" fontId="2" fillId="2" borderId="31" xfId="0" applyFont="1" applyFill="1" applyBorder="1"/>
    <xf numFmtId="0" fontId="6" fillId="2" borderId="34" xfId="0" applyFont="1" applyFill="1" applyBorder="1"/>
    <xf numFmtId="0" fontId="4" fillId="0" borderId="0" xfId="0" applyFont="1" applyAlignment="1">
      <alignment vertical="center"/>
    </xf>
    <xf numFmtId="0" fontId="6" fillId="2" borderId="5" xfId="0" applyFont="1" applyFill="1" applyBorder="1"/>
    <xf numFmtId="0" fontId="8" fillId="2" borderId="14" xfId="0" applyFont="1" applyFill="1" applyBorder="1"/>
    <xf numFmtId="0" fontId="2" fillId="2" borderId="14" xfId="0" applyFont="1" applyFill="1" applyBorder="1"/>
    <xf numFmtId="0" fontId="6" fillId="2" borderId="6" xfId="0" applyFont="1" applyFill="1" applyBorder="1"/>
    <xf numFmtId="0" fontId="30" fillId="0" borderId="0" xfId="0" applyFont="1" applyAlignment="1">
      <alignment vertical="center"/>
    </xf>
    <xf numFmtId="43" fontId="2" fillId="2" borderId="0" xfId="0" applyNumberFormat="1" applyFont="1" applyFill="1"/>
    <xf numFmtId="0" fontId="2" fillId="2" borderId="0" xfId="0" applyFont="1" applyFill="1"/>
    <xf numFmtId="7" fontId="34" fillId="2" borderId="38" xfId="0" applyNumberFormat="1" applyFont="1" applyFill="1" applyBorder="1" applyAlignment="1">
      <alignment horizontal="center"/>
    </xf>
    <xf numFmtId="0" fontId="2" fillId="0" borderId="0" xfId="0" applyFont="1" applyProtection="1">
      <protection locked="0"/>
    </xf>
    <xf numFmtId="7" fontId="34" fillId="2" borderId="35" xfId="0" applyNumberFormat="1" applyFont="1" applyFill="1" applyBorder="1" applyAlignment="1">
      <alignment horizontal="center"/>
    </xf>
    <xf numFmtId="43" fontId="2" fillId="0" borderId="0" xfId="0" applyNumberFormat="1" applyFont="1" applyProtection="1">
      <protection locked="0"/>
    </xf>
    <xf numFmtId="39" fontId="35" fillId="2" borderId="39" xfId="0" applyNumberFormat="1" applyFont="1" applyFill="1" applyBorder="1" applyAlignment="1">
      <alignment horizontal="center"/>
    </xf>
    <xf numFmtId="43" fontId="4" fillId="0" borderId="0" xfId="0" applyNumberFormat="1" applyFont="1" applyProtection="1">
      <protection locked="0"/>
    </xf>
    <xf numFmtId="0" fontId="8" fillId="2" borderId="1" xfId="0" applyFont="1" applyFill="1" applyBorder="1"/>
    <xf numFmtId="43" fontId="36" fillId="2" borderId="19" xfId="2" applyFont="1" applyFill="1" applyBorder="1"/>
    <xf numFmtId="0" fontId="2" fillId="2" borderId="20" xfId="0" applyFont="1" applyFill="1" applyBorder="1"/>
    <xf numFmtId="0" fontId="2" fillId="2" borderId="40" xfId="0" applyFont="1" applyFill="1" applyBorder="1"/>
    <xf numFmtId="0" fontId="2" fillId="0" borderId="0" xfId="0" applyFont="1" applyAlignment="1">
      <alignment horizontal="left"/>
    </xf>
    <xf numFmtId="0" fontId="2" fillId="2" borderId="33" xfId="0" applyFont="1" applyFill="1" applyBorder="1"/>
    <xf numFmtId="0" fontId="2" fillId="2" borderId="34" xfId="0" applyFont="1" applyFill="1" applyBorder="1"/>
    <xf numFmtId="0" fontId="2" fillId="0" borderId="1" xfId="0" applyFont="1" applyBorder="1"/>
    <xf numFmtId="0" fontId="2" fillId="0" borderId="7" xfId="0" applyFont="1" applyBorder="1"/>
    <xf numFmtId="0" fontId="6" fillId="2" borderId="35" xfId="0" applyFont="1" applyFill="1" applyBorder="1" applyAlignment="1">
      <alignment horizontal="center"/>
    </xf>
    <xf numFmtId="0" fontId="6" fillId="2" borderId="0" xfId="0" applyFont="1" applyFill="1" applyAlignment="1">
      <alignment horizontal="center"/>
    </xf>
    <xf numFmtId="0" fontId="6" fillId="2" borderId="23" xfId="0" applyFont="1" applyFill="1" applyBorder="1" applyAlignment="1">
      <alignment horizontal="center"/>
    </xf>
    <xf numFmtId="0" fontId="2" fillId="2" borderId="41" xfId="0" applyFont="1" applyFill="1" applyBorder="1" applyAlignment="1">
      <alignment horizontal="center"/>
    </xf>
    <xf numFmtId="0" fontId="2" fillId="2" borderId="2" xfId="0" applyFont="1" applyFill="1" applyBorder="1" applyAlignment="1">
      <alignment horizontal="center"/>
    </xf>
    <xf numFmtId="39" fontId="32" fillId="2" borderId="0" xfId="0" applyNumberFormat="1" applyFont="1" applyFill="1" applyAlignment="1">
      <alignment horizontal="center"/>
    </xf>
    <xf numFmtId="39" fontId="2" fillId="2" borderId="2" xfId="0" applyNumberFormat="1" applyFont="1" applyFill="1" applyBorder="1" applyAlignment="1">
      <alignment horizontal="center"/>
    </xf>
    <xf numFmtId="0" fontId="2" fillId="2" borderId="1" xfId="0" applyFont="1" applyFill="1" applyBorder="1"/>
    <xf numFmtId="0" fontId="2" fillId="2" borderId="7" xfId="0" applyFont="1" applyFill="1" applyBorder="1" applyAlignment="1">
      <alignment horizontal="center"/>
    </xf>
    <xf numFmtId="0" fontId="8" fillId="2" borderId="14" xfId="0" applyFont="1" applyFill="1" applyBorder="1" applyAlignment="1">
      <alignment horizontal="center"/>
    </xf>
    <xf numFmtId="0" fontId="2" fillId="2" borderId="14" xfId="0" applyFont="1" applyFill="1" applyBorder="1" applyAlignment="1">
      <alignment horizontal="center"/>
    </xf>
    <xf numFmtId="0" fontId="2" fillId="2" borderId="6" xfId="0" applyFont="1" applyFill="1" applyBorder="1" applyAlignment="1">
      <alignment horizontal="center"/>
    </xf>
    <xf numFmtId="166" fontId="6" fillId="2" borderId="35" xfId="0" applyNumberFormat="1" applyFont="1" applyFill="1" applyBorder="1" applyAlignment="1">
      <alignment horizontal="center"/>
    </xf>
    <xf numFmtId="0" fontId="2" fillId="2" borderId="7" xfId="0" applyFont="1" applyFill="1" applyBorder="1"/>
    <xf numFmtId="10" fontId="6" fillId="2" borderId="35" xfId="0" applyNumberFormat="1" applyFont="1" applyFill="1" applyBorder="1" applyAlignment="1">
      <alignment horizontal="center"/>
    </xf>
    <xf numFmtId="0" fontId="2" fillId="2" borderId="37" xfId="0" applyFont="1" applyFill="1" applyBorder="1"/>
    <xf numFmtId="166" fontId="2" fillId="2" borderId="34" xfId="0" applyNumberFormat="1" applyFont="1" applyFill="1" applyBorder="1"/>
    <xf numFmtId="0" fontId="7" fillId="0" borderId="0" xfId="0" applyFont="1"/>
    <xf numFmtId="0" fontId="30" fillId="8" borderId="4" xfId="0" applyFont="1" applyFill="1" applyBorder="1" applyAlignment="1">
      <alignment vertical="top" wrapText="1"/>
    </xf>
    <xf numFmtId="0" fontId="30" fillId="8" borderId="3" xfId="0" applyFont="1" applyFill="1" applyBorder="1" applyAlignment="1">
      <alignment vertical="top" wrapText="1"/>
    </xf>
    <xf numFmtId="0" fontId="4" fillId="8" borderId="42" xfId="0" applyFont="1" applyFill="1" applyBorder="1" applyAlignment="1">
      <alignment horizontal="center" vertical="top" wrapText="1"/>
    </xf>
    <xf numFmtId="0" fontId="4" fillId="8" borderId="43" xfId="0" applyFont="1" applyFill="1" applyBorder="1" applyAlignment="1">
      <alignment horizontal="center" vertical="top" wrapText="1"/>
    </xf>
    <xf numFmtId="0" fontId="4" fillId="0" borderId="0" xfId="0" applyFont="1" applyAlignment="1">
      <alignment horizontal="left" vertical="top" wrapText="1"/>
    </xf>
    <xf numFmtId="0" fontId="4" fillId="9" borderId="5" xfId="0" applyFont="1" applyFill="1" applyBorder="1" applyAlignment="1">
      <alignment horizontal="left" vertical="top"/>
    </xf>
    <xf numFmtId="0" fontId="4" fillId="9" borderId="6" xfId="0" applyFont="1" applyFill="1" applyBorder="1"/>
    <xf numFmtId="0" fontId="4" fillId="9" borderId="35" xfId="0" applyFont="1" applyFill="1" applyBorder="1" applyAlignment="1">
      <alignment horizontal="left" vertical="top"/>
    </xf>
    <xf numFmtId="0" fontId="4" fillId="9" borderId="3" xfId="0" applyFont="1" applyFill="1" applyBorder="1"/>
    <xf numFmtId="0" fontId="4" fillId="0" borderId="2" xfId="0" applyFont="1" applyBorder="1" applyAlignment="1">
      <alignment horizontal="center"/>
    </xf>
    <xf numFmtId="0" fontId="4" fillId="0" borderId="46" xfId="0" applyFont="1" applyBorder="1" applyAlignment="1">
      <alignment horizontal="center" vertical="top" wrapText="1"/>
    </xf>
    <xf numFmtId="3" fontId="4" fillId="0" borderId="23" xfId="0" applyNumberFormat="1" applyFont="1" applyBorder="1" applyAlignment="1">
      <alignment horizontal="center" vertical="top" wrapText="1"/>
    </xf>
    <xf numFmtId="0" fontId="4" fillId="0" borderId="47" xfId="0" applyFont="1" applyBorder="1" applyAlignment="1">
      <alignment horizontal="center" vertical="top" wrapText="1"/>
    </xf>
    <xf numFmtId="3" fontId="4" fillId="0" borderId="18" xfId="0" applyNumberFormat="1" applyFont="1" applyBorder="1" applyAlignment="1">
      <alignment horizontal="center" vertical="top" wrapText="1"/>
    </xf>
    <xf numFmtId="0" fontId="4" fillId="0" borderId="48" xfId="0" applyFont="1" applyBorder="1" applyAlignment="1">
      <alignment horizontal="center" vertical="top" wrapText="1"/>
    </xf>
    <xf numFmtId="3" fontId="4" fillId="0" borderId="49" xfId="0" applyNumberFormat="1" applyFont="1" applyBorder="1" applyAlignment="1">
      <alignment horizontal="center" vertical="top" wrapText="1"/>
    </xf>
    <xf numFmtId="0" fontId="4" fillId="8" borderId="22" xfId="0" applyFont="1" applyFill="1" applyBorder="1" applyAlignment="1">
      <alignment horizontal="center" vertical="top" wrapText="1"/>
    </xf>
    <xf numFmtId="0" fontId="2" fillId="7" borderId="0" xfId="0" applyFont="1" applyFill="1" applyBorder="1" applyAlignment="1">
      <alignment horizontal="left"/>
    </xf>
    <xf numFmtId="0" fontId="2" fillId="7" borderId="7" xfId="0" applyFont="1" applyFill="1" applyBorder="1" applyAlignment="1">
      <alignment horizontal="left"/>
    </xf>
    <xf numFmtId="0" fontId="6" fillId="2" borderId="4" xfId="0" applyFont="1" applyFill="1" applyBorder="1" applyAlignment="1">
      <alignment horizontal="center"/>
    </xf>
    <xf numFmtId="0" fontId="6" fillId="2" borderId="3"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23" fillId="0" borderId="0" xfId="0" applyFont="1"/>
    <xf numFmtId="0" fontId="23" fillId="0" borderId="0" xfId="0" applyFont="1" applyAlignment="1">
      <alignment horizontal="center" vertical="center"/>
    </xf>
    <xf numFmtId="0" fontId="38" fillId="0" borderId="0" xfId="0" applyFont="1"/>
    <xf numFmtId="0" fontId="41" fillId="0" borderId="0" xfId="0" applyFont="1"/>
    <xf numFmtId="1" fontId="4" fillId="0" borderId="0" xfId="0" applyNumberFormat="1" applyFont="1"/>
    <xf numFmtId="43" fontId="2" fillId="0" borderId="0" xfId="0" applyNumberFormat="1" applyFont="1" applyAlignment="1" applyProtection="1">
      <alignment horizontal="center"/>
      <protection locked="0"/>
    </xf>
    <xf numFmtId="0" fontId="2" fillId="0" borderId="0" xfId="0" applyFont="1" applyAlignment="1">
      <alignment horizontal="center" wrapText="1"/>
    </xf>
    <xf numFmtId="49" fontId="2" fillId="0" borderId="0" xfId="0" applyNumberFormat="1" applyFont="1" applyProtection="1">
      <protection locked="0"/>
    </xf>
    <xf numFmtId="43" fontId="4" fillId="0" borderId="0" xfId="0" applyNumberFormat="1" applyFont="1"/>
    <xf numFmtId="1" fontId="8"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39" fontId="7" fillId="0" borderId="0" xfId="0" applyNumberFormat="1" applyFont="1" applyAlignment="1" applyProtection="1">
      <alignment horizontal="center"/>
      <protection locked="0"/>
    </xf>
    <xf numFmtId="0" fontId="21" fillId="0" borderId="4" xfId="0" applyFont="1" applyBorder="1" applyAlignment="1">
      <alignment horizontal="center"/>
    </xf>
    <xf numFmtId="0" fontId="21" fillId="0" borderId="8" xfId="0" applyFont="1" applyBorder="1" applyAlignment="1">
      <alignment horizontal="center"/>
    </xf>
    <xf numFmtId="0" fontId="22" fillId="0" borderId="0" xfId="0" applyFont="1" applyAlignment="1">
      <alignment horizontal="center"/>
    </xf>
    <xf numFmtId="0" fontId="40" fillId="0" borderId="0" xfId="3" applyFont="1" applyAlignment="1" applyProtection="1"/>
    <xf numFmtId="0" fontId="6" fillId="2" borderId="14" xfId="0" applyFont="1" applyFill="1" applyBorder="1"/>
    <xf numFmtId="39" fontId="6" fillId="0" borderId="0" xfId="0" applyNumberFormat="1" applyFont="1" applyAlignment="1">
      <alignment horizontal="center"/>
    </xf>
    <xf numFmtId="0" fontId="21" fillId="0" borderId="1" xfId="0" applyFont="1" applyBorder="1" applyAlignment="1">
      <alignment horizontal="center" vertical="center"/>
    </xf>
    <xf numFmtId="0" fontId="2" fillId="0" borderId="0" xfId="0" applyFont="1" applyAlignment="1">
      <alignment horizontal="center" vertical="center"/>
    </xf>
    <xf numFmtId="166" fontId="7" fillId="0" borderId="25" xfId="0" applyNumberFormat="1" applyFont="1" applyBorder="1" applyAlignment="1">
      <alignment vertical="center"/>
    </xf>
    <xf numFmtId="167" fontId="21" fillId="0" borderId="0" xfId="0" applyNumberFormat="1" applyFont="1" applyAlignment="1">
      <alignment horizontal="center"/>
    </xf>
    <xf numFmtId="167" fontId="7" fillId="2" borderId="19" xfId="0" applyNumberFormat="1" applyFont="1" applyFill="1" applyBorder="1"/>
    <xf numFmtId="167" fontId="7" fillId="2" borderId="26" xfId="0" applyNumberFormat="1" applyFont="1" applyFill="1" applyBorder="1"/>
    <xf numFmtId="0" fontId="22" fillId="0" borderId="1" xfId="0" applyFont="1" applyBorder="1" applyAlignment="1">
      <alignment horizontal="left" vertical="center"/>
    </xf>
    <xf numFmtId="0" fontId="22" fillId="0" borderId="0" xfId="0" applyFont="1" applyAlignment="1">
      <alignment horizontal="left" vertical="center"/>
    </xf>
    <xf numFmtId="0" fontId="4" fillId="0" borderId="0" xfId="0" applyFont="1" applyAlignment="1" applyProtection="1">
      <alignment horizontal="center" vertical="center"/>
      <protection locked="0"/>
    </xf>
    <xf numFmtId="167" fontId="7" fillId="0" borderId="0" xfId="0" applyNumberFormat="1" applyFont="1"/>
    <xf numFmtId="167" fontId="7" fillId="0" borderId="7" xfId="0" applyNumberFormat="1" applyFont="1" applyBorder="1"/>
    <xf numFmtId="0" fontId="23" fillId="0" borderId="0" xfId="0" applyFont="1" applyAlignment="1">
      <alignment horizontal="left" vertical="center"/>
    </xf>
    <xf numFmtId="0" fontId="21" fillId="0" borderId="0" xfId="0" applyFont="1" applyAlignment="1">
      <alignment horizontal="center"/>
    </xf>
    <xf numFmtId="0" fontId="21" fillId="0" borderId="0" xfId="0" applyFont="1" applyAlignment="1">
      <alignment horizontal="left"/>
    </xf>
    <xf numFmtId="2" fontId="21" fillId="0" borderId="1" xfId="0" applyNumberFormat="1" applyFont="1" applyBorder="1" applyAlignment="1">
      <alignment horizontal="left" vertical="center"/>
    </xf>
    <xf numFmtId="2" fontId="21" fillId="0" borderId="0" xfId="0" applyNumberFormat="1" applyFont="1" applyAlignment="1">
      <alignment horizontal="center" vertical="center"/>
    </xf>
    <xf numFmtId="0" fontId="21" fillId="0" borderId="0" xfId="0" applyFont="1" applyAlignment="1">
      <alignment horizontal="left" vertical="center"/>
    </xf>
    <xf numFmtId="9" fontId="28" fillId="0" borderId="15" xfId="0" applyNumberFormat="1" applyFont="1" applyBorder="1" applyAlignment="1">
      <alignment horizontal="left" vertical="center"/>
    </xf>
    <xf numFmtId="9" fontId="28" fillId="0" borderId="13" xfId="0" applyNumberFormat="1" applyFont="1" applyBorder="1" applyAlignment="1">
      <alignment horizontal="center" vertical="center"/>
    </xf>
    <xf numFmtId="0" fontId="28" fillId="0" borderId="13" xfId="0" applyFont="1" applyBorder="1" applyAlignment="1">
      <alignment horizontal="left" vertical="center"/>
    </xf>
    <xf numFmtId="0" fontId="28" fillId="6" borderId="13" xfId="0" applyFont="1" applyFill="1" applyBorder="1" applyAlignment="1">
      <alignment horizontal="left" vertical="center"/>
    </xf>
    <xf numFmtId="167" fontId="28" fillId="0" borderId="13" xfId="0" applyNumberFormat="1" applyFont="1" applyBorder="1" applyAlignment="1">
      <alignment horizontal="center" vertical="center"/>
    </xf>
    <xf numFmtId="2" fontId="28" fillId="0" borderId="13" xfId="0" applyNumberFormat="1" applyFont="1" applyBorder="1" applyAlignment="1">
      <alignment horizontal="center" vertical="center"/>
    </xf>
    <xf numFmtId="167" fontId="29" fillId="0" borderId="0" xfId="0" applyNumberFormat="1" applyFont="1" applyAlignment="1">
      <alignment horizontal="center" vertical="center" wrapText="1"/>
    </xf>
    <xf numFmtId="165" fontId="28" fillId="0" borderId="0" xfId="0" applyNumberFormat="1" applyFont="1" applyAlignment="1">
      <alignment horizontal="left" vertical="center"/>
    </xf>
    <xf numFmtId="165" fontId="28" fillId="0" borderId="7" xfId="0" applyNumberFormat="1" applyFont="1" applyBorder="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0" borderId="2" xfId="0" applyFont="1" applyBorder="1" applyAlignment="1">
      <alignment horizontal="center" vertical="center"/>
    </xf>
    <xf numFmtId="0" fontId="2" fillId="0" borderId="0" xfId="0" applyFont="1" applyAlignment="1">
      <alignment vertical="center"/>
    </xf>
    <xf numFmtId="0" fontId="2" fillId="0" borderId="14" xfId="0" applyFont="1" applyBorder="1" applyProtection="1">
      <protection locked="0"/>
    </xf>
    <xf numFmtId="0" fontId="7" fillId="0" borderId="0" xfId="0" applyFont="1" applyAlignment="1">
      <alignment horizontal="center"/>
    </xf>
    <xf numFmtId="39" fontId="5" fillId="0" borderId="0" xfId="0" applyNumberFormat="1" applyFont="1" applyAlignment="1">
      <alignment horizontal="center"/>
    </xf>
    <xf numFmtId="0" fontId="3" fillId="0" borderId="0" xfId="3" applyFill="1" applyAlignment="1" applyProtection="1">
      <alignment vertical="center"/>
    </xf>
    <xf numFmtId="0" fontId="24" fillId="0" borderId="1" xfId="3" applyFont="1" applyFill="1" applyBorder="1" applyAlignment="1" applyProtection="1">
      <alignment horizontal="left" vertical="center"/>
    </xf>
    <xf numFmtId="0" fontId="24"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xf>
    <xf numFmtId="0" fontId="21" fillId="0" borderId="7" xfId="0" applyFont="1" applyBorder="1"/>
    <xf numFmtId="0" fontId="4" fillId="0" borderId="0" xfId="0" applyFont="1" applyAlignment="1">
      <alignment horizontal="center" vertical="top"/>
    </xf>
    <xf numFmtId="0" fontId="22" fillId="0" borderId="9" xfId="0" applyFont="1" applyBorder="1" applyAlignment="1">
      <alignment horizontal="left"/>
    </xf>
    <xf numFmtId="0" fontId="22" fillId="0" borderId="10" xfId="0" applyFont="1" applyBorder="1" applyAlignment="1">
      <alignment horizontal="left"/>
    </xf>
    <xf numFmtId="0" fontId="22" fillId="0" borderId="10" xfId="0" applyFont="1" applyBorder="1" applyAlignment="1">
      <alignment horizontal="center"/>
    </xf>
    <xf numFmtId="0" fontId="21" fillId="4" borderId="2" xfId="0" applyFont="1" applyFill="1" applyBorder="1"/>
    <xf numFmtId="167" fontId="7" fillId="2" borderId="19" xfId="0" applyNumberFormat="1" applyFont="1" applyFill="1" applyBorder="1" applyAlignment="1">
      <alignment horizontal="center" vertical="center"/>
    </xf>
    <xf numFmtId="0" fontId="7" fillId="2" borderId="7" xfId="0" applyFont="1" applyFill="1" applyBorder="1" applyAlignment="1">
      <alignment horizontal="left" vertical="center"/>
    </xf>
    <xf numFmtId="0" fontId="22" fillId="0" borderId="15" xfId="0" applyFont="1" applyBorder="1" applyAlignment="1">
      <alignment horizontal="left"/>
    </xf>
    <xf numFmtId="0" fontId="22" fillId="0" borderId="13" xfId="0" applyFont="1" applyBorder="1" applyAlignment="1">
      <alignment horizontal="left"/>
    </xf>
    <xf numFmtId="0" fontId="23" fillId="0" borderId="0" xfId="0" applyFont="1" applyAlignment="1">
      <alignment horizontal="center" vertical="top"/>
    </xf>
    <xf numFmtId="0" fontId="21" fillId="0" borderId="2" xfId="0" applyFont="1" applyBorder="1" applyAlignment="1">
      <alignment horizontal="center"/>
    </xf>
    <xf numFmtId="1" fontId="22" fillId="0" borderId="15" xfId="0" applyNumberFormat="1" applyFont="1" applyBorder="1" applyAlignment="1">
      <alignment horizontal="left"/>
    </xf>
    <xf numFmtId="0" fontId="22" fillId="5" borderId="13" xfId="0" applyFont="1" applyFill="1" applyBorder="1" applyAlignment="1">
      <alignment horizontal="center"/>
    </xf>
    <xf numFmtId="0" fontId="22" fillId="6" borderId="13" xfId="0" applyFont="1" applyFill="1" applyBorder="1" applyAlignment="1">
      <alignment horizontal="center"/>
    </xf>
    <xf numFmtId="0" fontId="22" fillId="0" borderId="13" xfId="0" applyFont="1" applyBorder="1" applyAlignment="1">
      <alignment horizontal="center"/>
    </xf>
    <xf numFmtId="2" fontId="22" fillId="0" borderId="13" xfId="0" applyNumberFormat="1" applyFont="1" applyBorder="1" applyAlignment="1">
      <alignment horizontal="left" vertical="center"/>
    </xf>
    <xf numFmtId="0" fontId="26" fillId="0" borderId="0" xfId="3" applyFont="1" applyFill="1" applyAlignment="1" applyProtection="1">
      <alignment vertical="center"/>
    </xf>
    <xf numFmtId="0" fontId="0" fillId="0" borderId="14" xfId="0" applyBorder="1"/>
    <xf numFmtId="0" fontId="2" fillId="0" borderId="14" xfId="0" applyFont="1" applyBorder="1"/>
    <xf numFmtId="0" fontId="0" fillId="0" borderId="0" xfId="0" applyAlignment="1">
      <alignment vertical="center"/>
    </xf>
    <xf numFmtId="43" fontId="2" fillId="4" borderId="19" xfId="0" applyNumberFormat="1" applyFont="1" applyFill="1" applyBorder="1" applyAlignment="1" applyProtection="1">
      <alignment horizontal="center"/>
      <protection locked="0"/>
    </xf>
    <xf numFmtId="0" fontId="2" fillId="4" borderId="28" xfId="0" applyFont="1" applyFill="1" applyBorder="1" applyProtection="1">
      <protection locked="0"/>
    </xf>
    <xf numFmtId="0" fontId="2" fillId="4" borderId="32" xfId="0" applyFont="1" applyFill="1" applyBorder="1" applyProtection="1">
      <protection locked="0"/>
    </xf>
    <xf numFmtId="0" fontId="2" fillId="4" borderId="19" xfId="0" applyFont="1" applyFill="1" applyBorder="1" applyAlignment="1">
      <alignment horizontal="center"/>
    </xf>
    <xf numFmtId="43" fontId="2" fillId="4" borderId="20" xfId="0" applyNumberFormat="1" applyFont="1" applyFill="1" applyBorder="1" applyProtection="1">
      <protection locked="0"/>
    </xf>
    <xf numFmtId="43" fontId="2" fillId="4" borderId="26" xfId="0" applyNumberFormat="1" applyFont="1" applyFill="1" applyBorder="1" applyProtection="1">
      <protection locked="0"/>
    </xf>
    <xf numFmtId="1" fontId="8" fillId="4" borderId="19" xfId="0" applyNumberFormat="1" applyFont="1" applyFill="1" applyBorder="1" applyAlignment="1" applyProtection="1">
      <alignment horizontal="center"/>
      <protection locked="0"/>
    </xf>
    <xf numFmtId="0" fontId="2" fillId="4" borderId="20" xfId="0" applyFont="1" applyFill="1" applyBorder="1" applyProtection="1">
      <protection locked="0"/>
    </xf>
    <xf numFmtId="0" fontId="2" fillId="4" borderId="26" xfId="0" applyFont="1" applyFill="1" applyBorder="1" applyProtection="1">
      <protection locked="0"/>
    </xf>
    <xf numFmtId="39" fontId="6" fillId="4" borderId="22" xfId="0" applyNumberFormat="1"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7" fontId="6" fillId="4" borderId="2" xfId="0" applyNumberFormat="1" applyFont="1" applyFill="1" applyBorder="1" applyAlignment="1" applyProtection="1">
      <alignment horizontal="center"/>
      <protection locked="0"/>
    </xf>
    <xf numFmtId="0" fontId="6" fillId="4" borderId="18" xfId="0" applyFont="1" applyFill="1" applyBorder="1" applyAlignment="1" applyProtection="1">
      <alignment horizontal="center"/>
      <protection locked="0"/>
    </xf>
    <xf numFmtId="168" fontId="6" fillId="4" borderId="18" xfId="0" applyNumberFormat="1" applyFont="1" applyFill="1" applyBorder="1" applyAlignment="1" applyProtection="1">
      <alignment horizontal="center"/>
      <protection locked="0"/>
    </xf>
    <xf numFmtId="39" fontId="35" fillId="4" borderId="18" xfId="0" applyNumberFormat="1" applyFont="1" applyFill="1" applyBorder="1" applyAlignment="1" applyProtection="1">
      <alignment horizontal="center"/>
      <protection locked="0"/>
    </xf>
    <xf numFmtId="164" fontId="6" fillId="4" borderId="22" xfId="0" applyNumberFormat="1" applyFont="1" applyFill="1" applyBorder="1" applyAlignment="1" applyProtection="1">
      <alignment horizontal="center"/>
      <protection locked="0"/>
    </xf>
    <xf numFmtId="39" fontId="6" fillId="4" borderId="24" xfId="0" applyNumberFormat="1" applyFont="1" applyFill="1" applyBorder="1" applyAlignment="1" applyProtection="1">
      <alignment horizontal="center"/>
      <protection locked="0"/>
    </xf>
    <xf numFmtId="0" fontId="6" fillId="4" borderId="2" xfId="0" applyFont="1" applyFill="1" applyBorder="1" applyAlignment="1">
      <alignment horizontal="left"/>
    </xf>
    <xf numFmtId="37" fontId="6" fillId="4" borderId="2" xfId="0" applyNumberFormat="1" applyFont="1" applyFill="1" applyBorder="1" applyAlignment="1" applyProtection="1">
      <alignment horizontal="center"/>
      <protection locked="0"/>
    </xf>
    <xf numFmtId="39" fontId="6" fillId="4" borderId="2" xfId="0" applyNumberFormat="1" applyFont="1" applyFill="1" applyBorder="1" applyAlignment="1" applyProtection="1">
      <alignment horizontal="center"/>
      <protection locked="0"/>
    </xf>
    <xf numFmtId="37" fontId="8" fillId="4" borderId="2" xfId="0" applyNumberFormat="1" applyFont="1" applyFill="1" applyBorder="1" applyAlignment="1" applyProtection="1">
      <alignment horizontal="center"/>
      <protection locked="0"/>
    </xf>
    <xf numFmtId="169" fontId="7" fillId="2" borderId="50" xfId="0" applyNumberFormat="1" applyFont="1" applyFill="1" applyBorder="1" applyAlignment="1">
      <alignment horizontal="center" vertical="center"/>
    </xf>
    <xf numFmtId="39" fontId="7" fillId="2" borderId="51" xfId="0" applyNumberFormat="1" applyFont="1" applyFill="1" applyBorder="1" applyAlignment="1">
      <alignment horizontal="left" vertical="center"/>
    </xf>
    <xf numFmtId="0" fontId="7" fillId="2" borderId="15" xfId="0" applyFont="1" applyFill="1" applyBorder="1"/>
    <xf numFmtId="0" fontId="2" fillId="2" borderId="13" xfId="0" applyFont="1" applyFill="1" applyBorder="1"/>
    <xf numFmtId="0" fontId="7" fillId="2" borderId="53" xfId="0" applyFont="1" applyFill="1" applyBorder="1"/>
    <xf numFmtId="0" fontId="2" fillId="2" borderId="54" xfId="0" applyFont="1" applyFill="1" applyBorder="1"/>
    <xf numFmtId="0" fontId="4" fillId="2" borderId="54" xfId="0" applyFont="1" applyFill="1" applyBorder="1"/>
    <xf numFmtId="0" fontId="2" fillId="2" borderId="55" xfId="0" applyFont="1" applyFill="1" applyBorder="1"/>
    <xf numFmtId="0" fontId="7" fillId="2" borderId="48" xfId="0" applyFont="1" applyFill="1" applyBorder="1"/>
    <xf numFmtId="0" fontId="7" fillId="2" borderId="56" xfId="0" applyFont="1" applyFill="1" applyBorder="1"/>
    <xf numFmtId="0" fontId="7" fillId="2" borderId="50" xfId="0" applyFont="1" applyFill="1" applyBorder="1"/>
    <xf numFmtId="0" fontId="7" fillId="2" borderId="57" xfId="0" applyFont="1" applyFill="1" applyBorder="1"/>
    <xf numFmtId="0" fontId="7" fillId="2" borderId="58" xfId="0" applyFont="1" applyFill="1" applyBorder="1"/>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4" borderId="2" xfId="0" applyFont="1" applyFill="1" applyBorder="1" applyAlignment="1" applyProtection="1">
      <alignment horizontal="center"/>
      <protection locked="0"/>
    </xf>
    <xf numFmtId="0" fontId="7" fillId="4" borderId="18" xfId="0" applyFont="1" applyFill="1" applyBorder="1" applyAlignment="1" applyProtection="1">
      <alignment horizontal="center"/>
      <protection locked="0"/>
    </xf>
    <xf numFmtId="44" fontId="10" fillId="2" borderId="4" xfId="1" applyFont="1" applyFill="1" applyBorder="1" applyAlignment="1" applyProtection="1">
      <alignment horizontal="center" vertical="center"/>
    </xf>
    <xf numFmtId="44" fontId="10" fillId="2" borderId="8" xfId="1" applyFont="1" applyFill="1" applyBorder="1" applyAlignment="1" applyProtection="1">
      <alignment horizontal="center" vertical="center"/>
    </xf>
    <xf numFmtId="44" fontId="10" fillId="2" borderId="3" xfId="1" applyFont="1" applyFill="1" applyBorder="1" applyAlignment="1" applyProtection="1">
      <alignment horizontal="center" vertical="center"/>
    </xf>
    <xf numFmtId="0" fontId="2" fillId="0" borderId="28" xfId="0" applyFont="1" applyBorder="1" applyAlignment="1">
      <alignment horizontal="center"/>
    </xf>
    <xf numFmtId="0" fontId="7" fillId="2" borderId="2" xfId="0" applyFont="1" applyFill="1" applyBorder="1" applyAlignment="1">
      <alignment horizontal="right"/>
    </xf>
    <xf numFmtId="0" fontId="6" fillId="4" borderId="2" xfId="0" applyFont="1" applyFill="1" applyBorder="1" applyAlignment="1" applyProtection="1">
      <alignment horizontal="left"/>
      <protection locked="0"/>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21" xfId="0" applyFont="1" applyFill="1" applyBorder="1" applyAlignment="1">
      <alignment horizontal="left" vertical="center"/>
    </xf>
    <xf numFmtId="0" fontId="7" fillId="4" borderId="16" xfId="0" applyFont="1" applyFill="1" applyBorder="1" applyAlignment="1" applyProtection="1">
      <alignment horizontal="center"/>
      <protection locked="0"/>
    </xf>
    <xf numFmtId="0" fontId="7" fillId="4" borderId="17" xfId="0" applyFont="1" applyFill="1" applyBorder="1" applyAlignment="1" applyProtection="1">
      <alignment horizontal="center"/>
      <protection locked="0"/>
    </xf>
    <xf numFmtId="0" fontId="7" fillId="2" borderId="5" xfId="0" applyFont="1" applyFill="1" applyBorder="1" applyAlignment="1">
      <alignment horizontal="left" vertical="center"/>
    </xf>
    <xf numFmtId="0" fontId="7" fillId="2" borderId="14" xfId="0" applyFont="1" applyFill="1" applyBorder="1" applyAlignment="1">
      <alignment horizontal="left" vertical="center"/>
    </xf>
    <xf numFmtId="0" fontId="7" fillId="4" borderId="22" xfId="0" applyFont="1"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2" borderId="9" xfId="0" applyFont="1" applyFill="1" applyBorder="1" applyAlignment="1">
      <alignment horizontal="left"/>
    </xf>
    <xf numFmtId="0" fontId="7" fillId="2" borderId="10" xfId="0" applyFont="1" applyFill="1" applyBorder="1" applyAlignment="1">
      <alignment horizontal="left"/>
    </xf>
    <xf numFmtId="9" fontId="7" fillId="2" borderId="2" xfId="0" applyNumberFormat="1" applyFont="1" applyFill="1" applyBorder="1" applyAlignment="1">
      <alignment horizontal="center" vertical="center"/>
    </xf>
    <xf numFmtId="9" fontId="7" fillId="2" borderId="18"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164" fontId="7" fillId="4" borderId="56" xfId="0" applyNumberFormat="1" applyFont="1" applyFill="1" applyBorder="1" applyAlignment="1" applyProtection="1">
      <alignment horizontal="center"/>
      <protection locked="0"/>
    </xf>
    <xf numFmtId="164" fontId="7" fillId="4" borderId="49" xfId="0" applyNumberFormat="1" applyFont="1" applyFill="1" applyBorder="1" applyAlignment="1" applyProtection="1">
      <alignment horizontal="center"/>
      <protection locked="0"/>
    </xf>
    <xf numFmtId="0" fontId="7" fillId="2" borderId="27" xfId="0" applyFont="1" applyFill="1" applyBorder="1" applyAlignment="1">
      <alignment horizontal="left" vertical="center"/>
    </xf>
    <xf numFmtId="0" fontId="7" fillId="2" borderId="20" xfId="0" applyFont="1" applyFill="1" applyBorder="1" applyAlignment="1">
      <alignment horizontal="left" vertical="center"/>
    </xf>
    <xf numFmtId="166" fontId="7" fillId="2" borderId="2" xfId="0" applyNumberFormat="1" applyFont="1" applyFill="1" applyBorder="1" applyAlignment="1">
      <alignment horizontal="center" wrapText="1"/>
    </xf>
    <xf numFmtId="166" fontId="7" fillId="2" borderId="18" xfId="0" applyNumberFormat="1" applyFont="1" applyFill="1" applyBorder="1" applyAlignment="1">
      <alignment horizontal="center" wrapText="1"/>
    </xf>
    <xf numFmtId="9" fontId="7" fillId="2" borderId="2" xfId="0" applyNumberFormat="1" applyFont="1" applyFill="1" applyBorder="1" applyAlignment="1">
      <alignment horizontal="center"/>
    </xf>
    <xf numFmtId="9" fontId="7" fillId="2" borderId="18" xfId="0" applyNumberFormat="1" applyFont="1" applyFill="1" applyBorder="1" applyAlignment="1">
      <alignment horizontal="center"/>
    </xf>
    <xf numFmtId="167" fontId="2" fillId="0" borderId="0" xfId="0" applyNumberFormat="1" applyFont="1" applyAlignment="1">
      <alignment horizontal="center"/>
    </xf>
    <xf numFmtId="167" fontId="2" fillId="0" borderId="7" xfId="0" applyNumberFormat="1" applyFont="1" applyBorder="1" applyAlignment="1">
      <alignment horizontal="center"/>
    </xf>
    <xf numFmtId="0" fontId="7" fillId="2" borderId="27" xfId="0" applyFont="1" applyFill="1" applyBorder="1" applyAlignment="1">
      <alignment horizontal="left"/>
    </xf>
    <xf numFmtId="0" fontId="7" fillId="2" borderId="20" xfId="0" applyFont="1" applyFill="1" applyBorder="1" applyAlignment="1">
      <alignment horizontal="left"/>
    </xf>
    <xf numFmtId="0" fontId="2" fillId="0" borderId="0" xfId="0" applyFont="1" applyAlignment="1">
      <alignment horizontal="center" vertical="center"/>
    </xf>
    <xf numFmtId="0" fontId="2" fillId="0" borderId="7" xfId="0" applyFont="1" applyBorder="1" applyAlignment="1">
      <alignment horizontal="center" vertical="center"/>
    </xf>
    <xf numFmtId="165" fontId="27" fillId="2" borderId="56" xfId="0" applyNumberFormat="1" applyFont="1" applyFill="1" applyBorder="1" applyAlignment="1">
      <alignment horizontal="center"/>
    </xf>
    <xf numFmtId="165" fontId="27" fillId="2" borderId="49" xfId="0" applyNumberFormat="1" applyFont="1" applyFill="1" applyBorder="1" applyAlignment="1">
      <alignment horizontal="center"/>
    </xf>
    <xf numFmtId="0" fontId="10" fillId="2" borderId="5" xfId="0" applyFont="1" applyFill="1" applyBorder="1" applyAlignment="1">
      <alignment horizontal="center" vertical="center"/>
    </xf>
    <xf numFmtId="0" fontId="39" fillId="0" borderId="14" xfId="0" applyFont="1" applyBorder="1" applyAlignment="1">
      <alignment vertical="center"/>
    </xf>
    <xf numFmtId="0" fontId="39" fillId="0" borderId="6" xfId="0" applyFont="1" applyBorder="1" applyAlignment="1">
      <alignment vertical="center"/>
    </xf>
    <xf numFmtId="165" fontId="7" fillId="2" borderId="19" xfId="0" applyNumberFormat="1" applyFont="1" applyFill="1" applyBorder="1" applyAlignment="1">
      <alignment horizontal="center" vertical="center"/>
    </xf>
    <xf numFmtId="165" fontId="7" fillId="2" borderId="20" xfId="0" applyNumberFormat="1" applyFont="1" applyFill="1" applyBorder="1" applyAlignment="1">
      <alignment horizontal="center" vertical="center"/>
    </xf>
    <xf numFmtId="165" fontId="7" fillId="2" borderId="26" xfId="0" applyNumberFormat="1" applyFont="1" applyFill="1" applyBorder="1" applyAlignment="1">
      <alignment horizontal="center" vertical="center"/>
    </xf>
    <xf numFmtId="169" fontId="25" fillId="2" borderId="2" xfId="0" applyNumberFormat="1" applyFont="1" applyFill="1" applyBorder="1" applyAlignment="1">
      <alignment horizontal="center"/>
    </xf>
    <xf numFmtId="169" fontId="25" fillId="2" borderId="18" xfId="0" applyNumberFormat="1" applyFont="1" applyFill="1" applyBorder="1" applyAlignment="1">
      <alignment horizontal="center"/>
    </xf>
    <xf numFmtId="39" fontId="25" fillId="2" borderId="52" xfId="0" applyNumberFormat="1" applyFont="1" applyFill="1" applyBorder="1" applyAlignment="1">
      <alignment horizontal="center"/>
    </xf>
    <xf numFmtId="39" fontId="25" fillId="2" borderId="45" xfId="0" applyNumberFormat="1" applyFont="1" applyFill="1" applyBorder="1" applyAlignment="1">
      <alignment horizontal="center"/>
    </xf>
    <xf numFmtId="39" fontId="25" fillId="2" borderId="44" xfId="0" applyNumberFormat="1" applyFont="1" applyFill="1" applyBorder="1" applyAlignment="1">
      <alignment horizontal="center"/>
    </xf>
    <xf numFmtId="0" fontId="14" fillId="2" borderId="9" xfId="3" applyFont="1" applyFill="1" applyBorder="1" applyAlignment="1" applyProtection="1">
      <alignment horizontal="left" vertical="center"/>
    </xf>
    <xf numFmtId="0" fontId="14" fillId="2" borderId="10" xfId="3" applyFont="1" applyFill="1" applyBorder="1" applyAlignment="1" applyProtection="1">
      <alignment horizontal="left" vertical="center"/>
    </xf>
    <xf numFmtId="164" fontId="7" fillId="4" borderId="2" xfId="0" applyNumberFormat="1" applyFont="1" applyFill="1" applyBorder="1" applyAlignment="1" applyProtection="1">
      <alignment horizontal="center"/>
      <protection locked="0"/>
    </xf>
    <xf numFmtId="0" fontId="4" fillId="4" borderId="18" xfId="0" applyFont="1" applyFill="1" applyBorder="1" applyProtection="1">
      <protection locked="0"/>
    </xf>
    <xf numFmtId="0" fontId="4" fillId="2" borderId="9" xfId="0" applyFont="1" applyFill="1" applyBorder="1" applyAlignment="1">
      <alignment horizontal="left"/>
    </xf>
    <xf numFmtId="0" fontId="4" fillId="2" borderId="10" xfId="0" applyFont="1" applyFill="1" applyBorder="1" applyAlignment="1">
      <alignment horizontal="left"/>
    </xf>
    <xf numFmtId="0" fontId="8" fillId="9" borderId="4"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 fillId="4" borderId="4" xfId="0" applyFont="1" applyFill="1" applyBorder="1" applyAlignment="1">
      <alignment horizontal="center"/>
    </xf>
    <xf numFmtId="0" fontId="6" fillId="4" borderId="3" xfId="0" applyFont="1" applyFill="1" applyBorder="1" applyAlignment="1">
      <alignment horizontal="center"/>
    </xf>
  </cellXfs>
  <cellStyles count="4">
    <cellStyle name="Comma" xfId="2" builtinId="3"/>
    <cellStyle name="Currency" xfId="1" builtinId="4"/>
    <cellStyle name="Hyperlink 2" xfId="3" xr:uid="{413C4261-7735-4D51-9BA6-76288377C0FD}"/>
    <cellStyle name="Normal" xfId="0" builtinId="0"/>
  </cellStyles>
  <dxfs count="0"/>
  <tableStyles count="0" defaultTableStyle="TableStyleMedium9" defaultPivotStyle="PivotStyleLight16"/>
  <colors>
    <mruColors>
      <color rgb="FFFFFF99"/>
      <color rgb="FF0000FF"/>
      <color rgb="FFFFFF66"/>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31749</xdr:colOff>
      <xdr:row>5</xdr:row>
      <xdr:rowOff>38098</xdr:rowOff>
    </xdr:from>
    <xdr:to>
      <xdr:col>19</xdr:col>
      <xdr:colOff>419100</xdr:colOff>
      <xdr:row>23</xdr:row>
      <xdr:rowOff>123825</xdr:rowOff>
    </xdr:to>
    <xdr:sp macro="" textlink="">
      <xdr:nvSpPr>
        <xdr:cNvPr id="3" name="TextBox 2">
          <a:extLst>
            <a:ext uri="{FF2B5EF4-FFF2-40B4-BE49-F238E27FC236}">
              <a16:creationId xmlns:a16="http://schemas.microsoft.com/office/drawing/2014/main" id="{896E484F-4FAC-4271-A964-37C091B7CB2A}"/>
            </a:ext>
          </a:extLst>
        </xdr:cNvPr>
        <xdr:cNvSpPr txBox="1"/>
      </xdr:nvSpPr>
      <xdr:spPr>
        <a:xfrm>
          <a:off x="6175374" y="904873"/>
          <a:ext cx="9655176" cy="33909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Option 1- Metered Instructions - E</a:t>
          </a:r>
          <a:r>
            <a:rPr lang="en-US" sz="1050" baseline="0"/>
            <a:t>nter info gathered from metering the room air conditioner. </a:t>
          </a:r>
          <a:br>
            <a:rPr lang="en-US" sz="1050"/>
          </a:br>
          <a:r>
            <a:rPr lang="en-US" sz="1050" b="1"/>
            <a:t>Time Metered </a:t>
          </a:r>
          <a:r>
            <a:rPr lang="en-US" sz="1050"/>
            <a:t>- Enter the time</a:t>
          </a:r>
          <a:r>
            <a:rPr lang="en-US" sz="1050" baseline="0"/>
            <a:t> observed from the energy consumption meter in cell B10. </a:t>
          </a:r>
          <a:br>
            <a:rPr lang="en-US" sz="1050" baseline="0"/>
          </a:br>
          <a:r>
            <a:rPr lang="en-US" sz="1050" baseline="0"/>
            <a:t>• Example (2 hours and 15 min = 75) </a:t>
          </a:r>
          <a:br>
            <a:rPr lang="en-US" sz="1050" baseline="0"/>
          </a:br>
          <a:br>
            <a:rPr lang="en-US" sz="1050" baseline="0"/>
          </a:br>
          <a:r>
            <a:rPr lang="en-US" sz="1050" b="1" baseline="0"/>
            <a:t>kWh Reading- </a:t>
          </a:r>
          <a:r>
            <a:rPr lang="en-US" sz="1050" baseline="0"/>
            <a:t>Enter the kWh observed from metering device in cell B11. </a:t>
          </a:r>
          <a:br>
            <a:rPr lang="en-US" sz="1050" baseline="0"/>
          </a:br>
          <a:r>
            <a:rPr lang="en-US" sz="1050" baseline="0"/>
            <a:t>•  Must need to verification of metering (picutre) in Client File for Review.</a:t>
          </a:r>
          <a:br>
            <a:rPr lang="en-US" sz="1050" baseline="0"/>
          </a:br>
          <a:br>
            <a:rPr lang="en-US" sz="1050" baseline="0"/>
          </a:br>
          <a:r>
            <a:rPr lang="en-US" sz="1050" baseline="0"/>
            <a:t>• </a:t>
          </a:r>
          <a:r>
            <a:rPr lang="en-US" sz="1050" b="1" baseline="0"/>
            <a:t>Statewide Average- </a:t>
          </a:r>
          <a:r>
            <a:rPr lang="en-US" sz="1050" baseline="0"/>
            <a:t>This will be the statewide average for the applicable program year. </a:t>
          </a:r>
          <a:br>
            <a:rPr lang="en-US" sz="1050" baseline="0"/>
          </a:br>
          <a:br>
            <a:rPr lang="en-US" sz="1050" baseline="0"/>
          </a:br>
          <a:r>
            <a:rPr lang="en-US" sz="1050" baseline="0"/>
            <a:t>• </a:t>
          </a:r>
          <a:r>
            <a:rPr lang="en-US" sz="1050" b="1" baseline="0"/>
            <a:t>Annual Usage (Yellow Box) </a:t>
          </a:r>
          <a:r>
            <a:rPr lang="en-US" sz="1050" baseline="0"/>
            <a:t>- Enter the replacement RAC's annual kWh. Usage. This is commonly found on the Energy Guide of the new unit. if only the $$ is listed, divide that amount by the applicable statewide average electricity rate found within Weatherization Assistant Fuel Cost Library. </a:t>
          </a:r>
          <a:br>
            <a:rPr lang="en-US" sz="1050" baseline="0"/>
          </a:br>
          <a:br>
            <a:rPr lang="en-US" sz="1050" baseline="0"/>
          </a:br>
          <a:r>
            <a:rPr lang="en-US" sz="1050" baseline="0"/>
            <a:t>• </a:t>
          </a:r>
          <a:r>
            <a:rPr lang="en-US" sz="1050" b="1" baseline="0"/>
            <a:t>Cost of Replacement- </a:t>
          </a:r>
          <a:r>
            <a:rPr lang="en-US" sz="1050" baseline="0"/>
            <a:t>Enter the cost for the new room air conditioner, the cost should include (Lab/Material + Cost to recycle the exisiting unit)</a:t>
          </a:r>
          <a:br>
            <a:rPr lang="en-US" sz="1050" baseline="0"/>
          </a:br>
          <a:br>
            <a:rPr lang="en-US" sz="1050" baseline="0"/>
          </a:br>
          <a:r>
            <a:rPr lang="en-US" sz="1050" b="1" baseline="0"/>
            <a:t>Results are shown as follows</a:t>
          </a:r>
          <a:br>
            <a:rPr lang="en-US" sz="1050" baseline="0"/>
          </a:br>
          <a:r>
            <a:rPr lang="en-US" sz="1050" baseline="0"/>
            <a:t>Annual Savings: Savings the client may expect annually. </a:t>
          </a:r>
          <a:br>
            <a:rPr lang="en-US" sz="1050" baseline="0"/>
          </a:br>
          <a:r>
            <a:rPr lang="en-US" sz="1050" baseline="0"/>
            <a:t>Expected Life Savings: The Savings expected over the next 15 years if the unit is kept in good working condition. </a:t>
          </a:r>
          <a:br>
            <a:rPr lang="en-US" sz="1050" baseline="0"/>
          </a:br>
          <a:br>
            <a:rPr lang="en-US" sz="1100" baseline="0"/>
          </a:br>
          <a:r>
            <a:rPr lang="en-US" sz="1100" b="1" baseline="0"/>
            <a:t>Savings to Investment Ratio (SIR</a:t>
          </a:r>
          <a:r>
            <a:rPr lang="en-US" sz="1100" baseline="0"/>
            <a:t>): The energy savings over the life of the replacement RAC divided by the installed cost(s). </a:t>
          </a:r>
          <a:br>
            <a:rPr lang="en-US" sz="1100" baseline="0"/>
          </a:br>
          <a:r>
            <a:rPr lang="en-US" sz="1100" baseline="0"/>
            <a:t>SIRs greater than or equal to one are cost effective. If the SIR is less than one, the replacement is not cost effective. </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uilding-center.org/" TargetMode="External"/><Relationship Id="rId2" Type="http://schemas.openxmlformats.org/officeDocument/2006/relationships/hyperlink" Target="http://www.nrel.gov/docs/fy06osti/38238.pdf" TargetMode="External"/><Relationship Id="rId1" Type="http://schemas.openxmlformats.org/officeDocument/2006/relationships/hyperlink" Target="http://www.nrel.gov/docs/fy06osti/38238.pdf" TargetMode="External"/><Relationship Id="rId5" Type="http://schemas.openxmlformats.org/officeDocument/2006/relationships/printerSettings" Target="../printerSettings/printerSettings1.bin"/><Relationship Id="rId4" Type="http://schemas.openxmlformats.org/officeDocument/2006/relationships/hyperlink" Target="https://www.energy.gov/scep/wap/articles/weatherization-program-notice-23-6-revised-energy-audit-approval-procedur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AF14-F05C-4076-8555-C3CFD94D42FD}">
  <dimension ref="A1:AH62"/>
  <sheetViews>
    <sheetView showGridLines="0" tabSelected="1" topLeftCell="A2" zoomScaleNormal="100" workbookViewId="0">
      <selection activeCell="H29" activeCellId="1" sqref="H7:J7 H29:J29"/>
    </sheetView>
  </sheetViews>
  <sheetFormatPr defaultColWidth="2.1796875" defaultRowHeight="16.5" customHeight="1" x14ac:dyDescent="0.3"/>
  <cols>
    <col min="1" max="6" width="9.1796875" style="7" customWidth="1"/>
    <col min="7" max="7" width="9.26953125" style="7" bestFit="1" customWidth="1"/>
    <col min="8" max="10" width="18.26953125" style="7" customWidth="1"/>
    <col min="11" max="11" width="5.7265625" style="7" customWidth="1"/>
    <col min="12" max="12" width="4.7265625" style="7" customWidth="1"/>
    <col min="13" max="20" width="9.1796875" style="7" customWidth="1"/>
    <col min="21" max="21" width="18.7265625" style="7" customWidth="1"/>
    <col min="22" max="22" width="81.81640625" style="7" bestFit="1" customWidth="1"/>
    <col min="23" max="23" width="9" style="8" bestFit="1" customWidth="1"/>
    <col min="24" max="24" width="3" style="8" customWidth="1"/>
    <col min="25" max="25" width="143.54296875" style="8" bestFit="1" customWidth="1"/>
    <col min="26" max="26" width="8.7265625" style="8" bestFit="1" customWidth="1"/>
    <col min="27" max="27" width="7.81640625" style="8" bestFit="1" customWidth="1"/>
    <col min="28" max="28" width="9" style="8" bestFit="1" customWidth="1"/>
    <col min="29" max="29" width="6" style="8" customWidth="1"/>
    <col min="30" max="30" width="12.26953125" style="7" bestFit="1" customWidth="1"/>
    <col min="31" max="31" width="10.7265625" style="7" bestFit="1" customWidth="1"/>
    <col min="32" max="32" width="3.54296875" style="7" customWidth="1"/>
    <col min="33" max="252" width="9.1796875" style="7" customWidth="1"/>
    <col min="253" max="253" width="32.81640625" style="7" customWidth="1"/>
    <col min="254" max="254" width="12.81640625" style="7" customWidth="1"/>
    <col min="255" max="255" width="9.26953125" style="7" bestFit="1" customWidth="1"/>
    <col min="256" max="256" width="12.81640625" style="7" customWidth="1"/>
    <col min="257" max="257" width="17.26953125" style="7" customWidth="1"/>
    <col min="258" max="16384" width="2.1796875" style="7"/>
  </cols>
  <sheetData>
    <row r="1" spans="1:34" ht="16.5" customHeight="1" thickBot="1" x14ac:dyDescent="0.4">
      <c r="A1" s="245" t="s">
        <v>81</v>
      </c>
      <c r="B1" s="246"/>
      <c r="C1" s="246"/>
      <c r="D1" s="246"/>
      <c r="E1" s="246"/>
      <c r="F1" s="246"/>
      <c r="G1" s="246"/>
      <c r="H1" s="246"/>
      <c r="I1" s="246"/>
      <c r="J1" s="247"/>
      <c r="K1" s="4"/>
      <c r="L1" s="3" t="s">
        <v>52</v>
      </c>
      <c r="V1" s="6" t="s">
        <v>63</v>
      </c>
      <c r="Y1" s="6" t="s">
        <v>64</v>
      </c>
      <c r="AD1" s="6" t="s">
        <v>65</v>
      </c>
    </row>
    <row r="2" spans="1:34" ht="15.65" customHeight="1" x14ac:dyDescent="0.3">
      <c r="A2" s="248"/>
      <c r="B2" s="248"/>
      <c r="C2" s="248"/>
      <c r="D2" s="248"/>
      <c r="E2" s="248"/>
      <c r="F2" s="248"/>
      <c r="G2" s="248"/>
      <c r="H2" s="248"/>
      <c r="I2" s="248"/>
      <c r="J2" s="248"/>
      <c r="K2" s="136"/>
      <c r="V2" s="13" t="s">
        <v>51</v>
      </c>
      <c r="W2" s="10" t="s">
        <v>50</v>
      </c>
      <c r="Y2" s="2" t="s">
        <v>49</v>
      </c>
      <c r="Z2" s="1" t="s">
        <v>48</v>
      </c>
      <c r="AA2" s="1" t="s">
        <v>47</v>
      </c>
      <c r="AB2" s="1" t="s">
        <v>46</v>
      </c>
      <c r="AD2" s="1" t="s">
        <v>53</v>
      </c>
      <c r="AE2" s="1" t="s">
        <v>54</v>
      </c>
      <c r="AG2" s="137"/>
      <c r="AH2" s="137"/>
    </row>
    <row r="3" spans="1:34" ht="15.65" customHeight="1" x14ac:dyDescent="0.35">
      <c r="A3" s="249" t="s">
        <v>45</v>
      </c>
      <c r="B3" s="249"/>
      <c r="C3" s="250"/>
      <c r="D3" s="250"/>
      <c r="E3" s="250"/>
      <c r="F3" s="250"/>
      <c r="G3" s="250"/>
      <c r="H3" s="249" t="s">
        <v>37</v>
      </c>
      <c r="I3" s="249"/>
      <c r="J3" s="26"/>
      <c r="K3" s="8"/>
      <c r="L3" s="9" t="s">
        <v>36</v>
      </c>
      <c r="M3" s="9"/>
      <c r="N3" s="9"/>
      <c r="O3" s="9"/>
      <c r="P3" s="9"/>
      <c r="Q3" s="9"/>
      <c r="R3" s="9"/>
      <c r="S3" s="9"/>
      <c r="T3" s="9"/>
      <c r="U3" s="9"/>
      <c r="V3" s="13" t="s">
        <v>44</v>
      </c>
      <c r="W3" s="10">
        <v>90</v>
      </c>
      <c r="Y3" s="12" t="s">
        <v>55</v>
      </c>
      <c r="Z3" s="10">
        <v>14</v>
      </c>
      <c r="AA3" s="10">
        <v>10.5</v>
      </c>
      <c r="AB3" s="10"/>
      <c r="AD3" s="10" t="s">
        <v>66</v>
      </c>
      <c r="AE3" s="10">
        <v>6.5</v>
      </c>
    </row>
    <row r="4" spans="1:34" ht="15.65" customHeight="1" x14ac:dyDescent="0.35">
      <c r="A4" s="249" t="s">
        <v>42</v>
      </c>
      <c r="B4" s="249"/>
      <c r="C4" s="250"/>
      <c r="D4" s="250"/>
      <c r="E4" s="250"/>
      <c r="F4" s="250"/>
      <c r="G4" s="250"/>
      <c r="H4" s="251"/>
      <c r="I4" s="252"/>
      <c r="J4" s="252"/>
      <c r="K4" s="138"/>
      <c r="L4" s="129" t="s">
        <v>174</v>
      </c>
      <c r="M4" s="139" t="s">
        <v>83</v>
      </c>
      <c r="N4" s="9"/>
      <c r="O4" s="9"/>
      <c r="P4" s="9"/>
      <c r="Q4" s="9"/>
      <c r="R4" s="9"/>
      <c r="S4" s="9"/>
      <c r="T4" s="9"/>
      <c r="U4" s="9"/>
      <c r="V4" s="13" t="s">
        <v>41</v>
      </c>
      <c r="W4" s="10">
        <v>80</v>
      </c>
      <c r="Y4" s="12" t="s">
        <v>56</v>
      </c>
      <c r="Z4" s="10">
        <v>12</v>
      </c>
      <c r="AA4" s="10">
        <v>10.8</v>
      </c>
      <c r="AB4" s="10"/>
      <c r="AD4" s="10">
        <v>1980</v>
      </c>
      <c r="AE4" s="10">
        <v>6.5</v>
      </c>
    </row>
    <row r="5" spans="1:34" ht="16.5" customHeight="1" thickBot="1" x14ac:dyDescent="0.4">
      <c r="A5" s="253"/>
      <c r="B5" s="253"/>
      <c r="C5" s="253"/>
      <c r="D5" s="253"/>
      <c r="E5" s="253"/>
      <c r="F5" s="253"/>
      <c r="G5" s="253"/>
      <c r="H5" s="253"/>
      <c r="I5" s="253"/>
      <c r="J5" s="253"/>
      <c r="K5" s="140"/>
      <c r="L5" s="129" t="s">
        <v>174</v>
      </c>
      <c r="M5" s="139" t="s">
        <v>84</v>
      </c>
      <c r="N5" s="9"/>
      <c r="O5" s="9"/>
      <c r="P5" s="9"/>
      <c r="Q5" s="9"/>
      <c r="R5" s="9"/>
      <c r="S5" s="9"/>
      <c r="T5" s="9"/>
      <c r="U5" s="9"/>
      <c r="V5" s="13" t="s">
        <v>39</v>
      </c>
      <c r="W5" s="10">
        <v>78</v>
      </c>
      <c r="Y5" s="12" t="s">
        <v>57</v>
      </c>
      <c r="Z5" s="10">
        <v>10</v>
      </c>
      <c r="AA5" s="10">
        <v>9.3000000000000007</v>
      </c>
      <c r="AB5" s="10"/>
      <c r="AD5" s="10">
        <v>1981</v>
      </c>
      <c r="AE5" s="10">
        <v>8</v>
      </c>
    </row>
    <row r="6" spans="1:34" ht="16.5" customHeight="1" thickBot="1" x14ac:dyDescent="0.4">
      <c r="A6" s="254" t="s">
        <v>31</v>
      </c>
      <c r="B6" s="255"/>
      <c r="C6" s="255"/>
      <c r="D6" s="255"/>
      <c r="E6" s="255"/>
      <c r="F6" s="255"/>
      <c r="G6" s="256"/>
      <c r="H6" s="257" t="s">
        <v>104</v>
      </c>
      <c r="I6" s="257"/>
      <c r="J6" s="258"/>
      <c r="L6" s="9" t="s">
        <v>8</v>
      </c>
      <c r="M6" s="9"/>
      <c r="N6" s="9"/>
      <c r="O6" s="9"/>
      <c r="P6" s="9"/>
      <c r="Q6" s="9"/>
      <c r="R6" s="9"/>
      <c r="S6" s="9"/>
      <c r="T6" s="9"/>
      <c r="U6" s="9"/>
      <c r="V6" s="13" t="s">
        <v>35</v>
      </c>
      <c r="W6" s="10">
        <v>75</v>
      </c>
      <c r="Y6" s="12" t="s">
        <v>58</v>
      </c>
      <c r="Z6" s="10">
        <v>8</v>
      </c>
      <c r="AA6" s="10">
        <v>7.7</v>
      </c>
      <c r="AB6" s="10"/>
      <c r="AD6" s="10">
        <v>1982</v>
      </c>
      <c r="AE6" s="10">
        <v>8</v>
      </c>
    </row>
    <row r="7" spans="1:34" ht="16.5" customHeight="1" x14ac:dyDescent="0.35">
      <c r="A7" s="259" t="s">
        <v>69</v>
      </c>
      <c r="B7" s="260"/>
      <c r="C7" s="260"/>
      <c r="D7" s="260"/>
      <c r="E7" s="260"/>
      <c r="F7" s="260"/>
      <c r="G7" s="260"/>
      <c r="H7" s="261" t="s">
        <v>103</v>
      </c>
      <c r="I7" s="261"/>
      <c r="J7" s="262"/>
      <c r="L7" s="130" t="s">
        <v>174</v>
      </c>
      <c r="M7" s="11" t="s">
        <v>73</v>
      </c>
      <c r="N7" s="9"/>
      <c r="O7" s="9"/>
      <c r="P7" s="9"/>
      <c r="Q7" s="9"/>
      <c r="R7" s="9"/>
      <c r="S7" s="9"/>
      <c r="T7" s="9"/>
      <c r="U7" s="9"/>
      <c r="V7" s="13" t="s">
        <v>33</v>
      </c>
      <c r="W7" s="10">
        <v>64</v>
      </c>
      <c r="Y7" s="12" t="s">
        <v>59</v>
      </c>
      <c r="Z7" s="10">
        <v>6.5</v>
      </c>
      <c r="AA7" s="10">
        <v>6.4</v>
      </c>
      <c r="AB7" s="10"/>
      <c r="AD7" s="10">
        <v>1983</v>
      </c>
      <c r="AE7" s="10">
        <v>8</v>
      </c>
    </row>
    <row r="8" spans="1:34" ht="16.5" customHeight="1" x14ac:dyDescent="0.35">
      <c r="A8" s="241" t="s">
        <v>70</v>
      </c>
      <c r="B8" s="242"/>
      <c r="C8" s="242"/>
      <c r="D8" s="242"/>
      <c r="E8" s="242"/>
      <c r="F8" s="242"/>
      <c r="G8" s="242"/>
      <c r="H8" s="243" t="s">
        <v>102</v>
      </c>
      <c r="I8" s="243"/>
      <c r="J8" s="244"/>
      <c r="K8" s="141"/>
      <c r="L8" s="130" t="s">
        <v>174</v>
      </c>
      <c r="M8" s="11" t="s">
        <v>74</v>
      </c>
      <c r="N8" s="9"/>
      <c r="O8" s="9"/>
      <c r="P8" s="9"/>
      <c r="Q8" s="9"/>
      <c r="R8" s="9"/>
      <c r="S8" s="9"/>
      <c r="T8" s="9"/>
      <c r="U8" s="9"/>
      <c r="V8" s="13" t="s">
        <v>30</v>
      </c>
      <c r="W8" s="10">
        <v>80</v>
      </c>
      <c r="Y8" s="12" t="s">
        <v>60</v>
      </c>
      <c r="Z8" s="10">
        <v>14</v>
      </c>
      <c r="AA8" s="10">
        <v>10.5</v>
      </c>
      <c r="AB8" s="10">
        <v>8</v>
      </c>
      <c r="AD8" s="10">
        <v>1984</v>
      </c>
      <c r="AE8" s="10">
        <v>8</v>
      </c>
    </row>
    <row r="9" spans="1:34" ht="16.5" customHeight="1" thickBot="1" x14ac:dyDescent="0.4">
      <c r="A9" s="267" t="s">
        <v>77</v>
      </c>
      <c r="B9" s="268"/>
      <c r="C9" s="268"/>
      <c r="D9" s="268"/>
      <c r="E9" s="268"/>
      <c r="F9" s="268"/>
      <c r="G9" s="268"/>
      <c r="H9" s="269"/>
      <c r="I9" s="269"/>
      <c r="J9" s="270"/>
      <c r="K9" s="142"/>
      <c r="L9" s="130" t="s">
        <v>174</v>
      </c>
      <c r="M9" s="11" t="s">
        <v>72</v>
      </c>
      <c r="N9" s="9"/>
      <c r="O9" s="9"/>
      <c r="P9" s="9"/>
      <c r="Q9" s="9"/>
      <c r="R9" s="9"/>
      <c r="S9" s="9"/>
      <c r="T9" s="9"/>
      <c r="U9" s="9"/>
      <c r="V9" s="13" t="s">
        <v>29</v>
      </c>
      <c r="W9" s="10">
        <v>81</v>
      </c>
      <c r="Y9" s="12" t="s">
        <v>43</v>
      </c>
      <c r="Z9" s="10">
        <v>10</v>
      </c>
      <c r="AA9" s="10">
        <v>9.3000000000000007</v>
      </c>
      <c r="AB9" s="10">
        <v>7.1</v>
      </c>
      <c r="AD9" s="10">
        <v>1985</v>
      </c>
      <c r="AE9" s="10">
        <v>8</v>
      </c>
    </row>
    <row r="10" spans="1:34" s="32" customFormat="1" ht="16.5" customHeight="1" thickBot="1" x14ac:dyDescent="0.4">
      <c r="A10" s="143" t="str">
        <f>IF(AND(I13&gt;1%,A13=TRUE,C13=TRUE),I13,IF(AND(I13&gt;1%,B13=TRUE,C13=TRUE),I13,IF(AND(I13&lt;=0,A13=TRUE,C13=TRUE),"EFFICIENCY ERROR",IF(AND(I13&lt;=0,B13=TRUE,C13=TRUE),"EFFICIENCY ERROR",IF(AND(J3&gt;1,H9&gt;1,B13=FALSE),"N/A","")))))</f>
        <v/>
      </c>
      <c r="B10" s="144"/>
      <c r="C10" s="144"/>
      <c r="D10" s="144"/>
      <c r="E10" s="144"/>
      <c r="F10" s="144"/>
      <c r="G10" s="144"/>
      <c r="H10" s="7"/>
      <c r="I10" s="7"/>
      <c r="J10" s="7"/>
      <c r="K10" s="145"/>
      <c r="L10" s="131"/>
      <c r="M10" s="131"/>
      <c r="N10" s="131"/>
      <c r="O10" s="131"/>
      <c r="P10" s="131"/>
      <c r="Q10" s="131"/>
      <c r="R10" s="131"/>
      <c r="S10" s="131"/>
      <c r="T10" s="146"/>
      <c r="U10" s="131"/>
    </row>
    <row r="11" spans="1:34" ht="16.5" customHeight="1" x14ac:dyDescent="0.35">
      <c r="A11" s="68" t="s">
        <v>71</v>
      </c>
      <c r="B11" s="147"/>
      <c r="C11" s="147"/>
      <c r="D11" s="147"/>
      <c r="E11" s="147"/>
      <c r="F11" s="147"/>
      <c r="G11" s="147"/>
      <c r="H11" s="147"/>
      <c r="I11" s="147"/>
      <c r="J11" s="71"/>
      <c r="K11" s="8"/>
      <c r="L11" s="130"/>
      <c r="M11" s="11"/>
      <c r="N11" s="9"/>
      <c r="O11" s="9"/>
      <c r="P11" s="9"/>
      <c r="Q11" s="9"/>
      <c r="R11" s="9"/>
      <c r="S11" s="9"/>
      <c r="T11" s="9"/>
      <c r="U11" s="9"/>
      <c r="V11" s="13" t="s">
        <v>27</v>
      </c>
      <c r="W11" s="10">
        <v>90</v>
      </c>
      <c r="Y11" s="12" t="s">
        <v>40</v>
      </c>
      <c r="Z11" s="10">
        <v>8</v>
      </c>
      <c r="AA11" s="10">
        <v>7.7</v>
      </c>
      <c r="AB11" s="10">
        <v>6.6</v>
      </c>
      <c r="AD11" s="10">
        <v>1986</v>
      </c>
      <c r="AE11" s="10">
        <v>8</v>
      </c>
    </row>
    <row r="12" spans="1:34" ht="16.5" customHeight="1" x14ac:dyDescent="0.35">
      <c r="A12" s="271" t="s">
        <v>98</v>
      </c>
      <c r="B12" s="272"/>
      <c r="C12" s="272"/>
      <c r="D12" s="272"/>
      <c r="E12" s="272"/>
      <c r="F12" s="272"/>
      <c r="G12" s="272"/>
      <c r="H12" s="29"/>
      <c r="I12" s="273" t="str">
        <f>IF(H9&gt;1,I13,"")</f>
        <v/>
      </c>
      <c r="J12" s="274"/>
      <c r="K12" s="148"/>
      <c r="L12" s="130" t="s">
        <v>174</v>
      </c>
      <c r="M12" s="11" t="s">
        <v>75</v>
      </c>
      <c r="N12" s="9"/>
      <c r="O12" s="9"/>
      <c r="P12" s="9"/>
      <c r="Q12" s="9"/>
      <c r="R12" s="9"/>
      <c r="S12" s="9"/>
      <c r="T12" s="9"/>
      <c r="U12" s="9"/>
      <c r="V12" s="13" t="s">
        <v>25</v>
      </c>
      <c r="W12" s="10">
        <v>80</v>
      </c>
      <c r="Y12" s="12" t="s">
        <v>38</v>
      </c>
      <c r="Z12" s="10">
        <v>6.5</v>
      </c>
      <c r="AA12" s="10">
        <v>6.4</v>
      </c>
      <c r="AB12" s="10">
        <v>6</v>
      </c>
      <c r="AD12" s="10">
        <v>1987</v>
      </c>
      <c r="AE12" s="10">
        <v>8</v>
      </c>
    </row>
    <row r="13" spans="1:34" s="33" customFormat="1" ht="16.5" hidden="1" customHeight="1" x14ac:dyDescent="0.35">
      <c r="A13" s="149" t="str">
        <f>IF(H7="DOE","TRUE","FALSE")</f>
        <v>FALSE</v>
      </c>
      <c r="B13" s="33" t="str">
        <f>IF(H7="LIHEAP","TRUE","FALSE")</f>
        <v>FALSE</v>
      </c>
      <c r="C13" s="33" t="str">
        <f>IF(H7="DOE &amp; LIHEAP","TRUE","FALSE")</f>
        <v>FALSE</v>
      </c>
      <c r="D13" s="33" t="str">
        <f>IF(H8="Gas Furnace","TRUE","FALSE")</f>
        <v>FALSE</v>
      </c>
      <c r="E13" s="33" t="str">
        <f>IF(H8="Electric Resistance Furnace","TRUE","FALSE")</f>
        <v>FALSE</v>
      </c>
      <c r="F13" s="33" t="str">
        <f>IF(H8="Heat Pump","TRUE","FALSE")</f>
        <v>FALSE</v>
      </c>
      <c r="G13" s="33" t="str">
        <f>IF(D13="TRUE","N/A",IF(E13="TRUE",1,IF(F13="TRUE","N/A","")))</f>
        <v/>
      </c>
      <c r="H13" s="150" t="b">
        <f>IF(H6="Conditioned Space","Conditioned",IF(H6="Unconditioned Space","Unconditioned",FALSE))</f>
        <v>0</v>
      </c>
      <c r="I13" s="151" t="str">
        <f>IF(H8="Gas Furnace","Requires combustion analyzer reading",IF(H8="Electric Resistance Furnace","N/A",IF(H8="Heat Pump","N/A","")))</f>
        <v/>
      </c>
      <c r="J13" s="35"/>
      <c r="L13" s="132"/>
      <c r="M13" s="132"/>
      <c r="N13" s="132"/>
      <c r="O13" s="132"/>
      <c r="P13" s="132"/>
      <c r="Q13" s="132"/>
      <c r="R13" s="132"/>
      <c r="S13" s="132"/>
      <c r="T13" s="132"/>
      <c r="U13" s="132"/>
    </row>
    <row r="14" spans="1:34" s="5" customFormat="1" ht="16.5" customHeight="1" x14ac:dyDescent="0.35">
      <c r="A14" s="241" t="s">
        <v>97</v>
      </c>
      <c r="B14" s="242"/>
      <c r="C14" s="242"/>
      <c r="D14" s="242"/>
      <c r="E14" s="242"/>
      <c r="F14" s="242"/>
      <c r="G14" s="242"/>
      <c r="H14" s="275" t="str">
        <f>G13</f>
        <v/>
      </c>
      <c r="I14" s="275"/>
      <c r="J14" s="276"/>
      <c r="L14" s="130" t="s">
        <v>174</v>
      </c>
      <c r="M14" s="11" t="s">
        <v>76</v>
      </c>
      <c r="N14" s="133"/>
      <c r="O14" s="133"/>
      <c r="P14" s="133"/>
      <c r="Q14" s="133"/>
      <c r="R14" s="133"/>
      <c r="S14" s="133"/>
      <c r="T14" s="133"/>
      <c r="U14" s="133"/>
      <c r="V14" s="13" t="s">
        <v>23</v>
      </c>
      <c r="W14" s="10">
        <v>80</v>
      </c>
      <c r="X14" s="8"/>
      <c r="Y14" s="12" t="s">
        <v>34</v>
      </c>
      <c r="Z14" s="10">
        <v>10</v>
      </c>
      <c r="AA14" s="10">
        <v>9.1</v>
      </c>
      <c r="AB14" s="10"/>
      <c r="AC14" s="8"/>
      <c r="AD14" s="10">
        <v>1988</v>
      </c>
      <c r="AE14" s="10">
        <v>8</v>
      </c>
    </row>
    <row r="15" spans="1:34" s="32" customFormat="1" ht="16.5" hidden="1" customHeight="1" x14ac:dyDescent="0.35">
      <c r="A15" s="149" t="str">
        <f>IF(H8="Gas Furnace",H12,IF(H8="Electric Resistance Furnace","N/A",IF(H8="Heat Pump","N/A","")))</f>
        <v/>
      </c>
      <c r="B15" s="33"/>
      <c r="G15" s="152" t="str">
        <f>IF(D13="TRUE","N/A",IF(E13="TRUE","N/A",IF(F13="TRUE",8,"")))</f>
        <v/>
      </c>
      <c r="H15" s="277" t="str">
        <f>IF(AND(H8="Gas Furnace",H9&gt;1),"N/A",IF(AND(H9&gt;1,H8="Electric Resistance Furnace"),"N/A",IF(AND(H16&gt;1,H8="Heat Pump"),H16,IF(AND(H8="Heat Pump",H16&lt;1),G15,""))))</f>
        <v/>
      </c>
      <c r="I15" s="277"/>
      <c r="J15" s="278"/>
      <c r="L15" s="131"/>
      <c r="M15" s="131"/>
      <c r="N15" s="131"/>
      <c r="O15" s="131"/>
      <c r="P15" s="131"/>
      <c r="Q15" s="131"/>
      <c r="R15" s="131"/>
      <c r="S15" s="131"/>
      <c r="T15" s="131"/>
      <c r="U15" s="131"/>
    </row>
    <row r="16" spans="1:34" s="14" customFormat="1" ht="16.5" customHeight="1" x14ac:dyDescent="0.35">
      <c r="A16" s="271" t="s">
        <v>99</v>
      </c>
      <c r="B16" s="272"/>
      <c r="C16" s="272"/>
      <c r="D16" s="272"/>
      <c r="E16" s="272"/>
      <c r="F16" s="272"/>
      <c r="G16" s="272"/>
      <c r="H16" s="27"/>
      <c r="I16" s="153" t="str">
        <f>H15</f>
        <v/>
      </c>
      <c r="J16" s="154" t="str">
        <f>IF(H8="Heat Pump","HSPF","")</f>
        <v/>
      </c>
      <c r="L16" s="130" t="s">
        <v>174</v>
      </c>
      <c r="M16" s="11" t="s">
        <v>76</v>
      </c>
      <c r="N16" s="134"/>
      <c r="O16" s="134"/>
      <c r="P16" s="134"/>
      <c r="Q16" s="134"/>
      <c r="R16" s="134"/>
      <c r="S16" s="134"/>
      <c r="T16" s="134"/>
      <c r="U16" s="134"/>
      <c r="V16" s="20" t="s">
        <v>19</v>
      </c>
      <c r="W16" s="21">
        <v>73</v>
      </c>
      <c r="X16" s="8"/>
      <c r="Y16" s="22" t="s">
        <v>32</v>
      </c>
      <c r="Z16" s="21">
        <v>10</v>
      </c>
      <c r="AA16" s="21">
        <v>9.1</v>
      </c>
      <c r="AB16" s="21">
        <v>6.8</v>
      </c>
      <c r="AC16" s="8"/>
      <c r="AD16" s="21">
        <v>1989</v>
      </c>
      <c r="AE16" s="21">
        <v>8</v>
      </c>
    </row>
    <row r="17" spans="1:31" s="32" customFormat="1" ht="16.5" hidden="1" customHeight="1" x14ac:dyDescent="0.35">
      <c r="A17" s="155"/>
      <c r="B17" s="156"/>
      <c r="C17" s="156"/>
      <c r="D17" s="156"/>
      <c r="E17" s="156"/>
      <c r="F17" s="156"/>
      <c r="G17" s="156"/>
      <c r="H17" s="157"/>
      <c r="I17" s="158"/>
      <c r="J17" s="159"/>
      <c r="L17" s="132"/>
      <c r="M17" s="160"/>
      <c r="N17" s="131"/>
      <c r="O17" s="131"/>
      <c r="P17" s="131"/>
      <c r="Q17" s="131"/>
      <c r="R17" s="131"/>
      <c r="S17" s="131"/>
      <c r="T17" s="131"/>
      <c r="U17" s="131"/>
      <c r="W17" s="161"/>
      <c r="X17" s="161"/>
      <c r="Y17" s="162"/>
      <c r="Z17" s="161"/>
      <c r="AA17" s="161"/>
      <c r="AB17" s="161"/>
      <c r="AC17" s="161"/>
      <c r="AD17" s="161"/>
      <c r="AE17" s="161"/>
    </row>
    <row r="18" spans="1:31" ht="16.5" customHeight="1" x14ac:dyDescent="0.35">
      <c r="A18" s="279" t="s">
        <v>100</v>
      </c>
      <c r="B18" s="280"/>
      <c r="C18" s="280"/>
      <c r="D18" s="280"/>
      <c r="E18" s="280"/>
      <c r="F18" s="280"/>
      <c r="G18" s="280"/>
      <c r="H18" s="243" t="s">
        <v>179</v>
      </c>
      <c r="I18" s="243"/>
      <c r="J18" s="244"/>
      <c r="L18" s="130" t="s">
        <v>174</v>
      </c>
      <c r="M18" s="11" t="s">
        <v>5</v>
      </c>
      <c r="N18" s="9"/>
      <c r="O18" s="9"/>
      <c r="P18" s="9"/>
      <c r="Q18" s="9"/>
      <c r="R18" s="9"/>
      <c r="S18" s="9"/>
      <c r="T18" s="9"/>
      <c r="U18" s="9"/>
      <c r="V18" s="23" t="s">
        <v>16</v>
      </c>
      <c r="W18" s="24">
        <v>60</v>
      </c>
      <c r="Y18" s="25" t="s">
        <v>28</v>
      </c>
      <c r="Z18" s="24"/>
      <c r="AA18" s="24">
        <v>9.75</v>
      </c>
      <c r="AB18" s="24"/>
      <c r="AD18" s="24">
        <v>1990</v>
      </c>
      <c r="AE18" s="24">
        <v>8</v>
      </c>
    </row>
    <row r="19" spans="1:31" s="33" customFormat="1" ht="16.5" hidden="1" customHeight="1" x14ac:dyDescent="0.35">
      <c r="A19" s="163" t="str">
        <f>IF(AND(A13="TRUE",D13="TRUE",H18="Annual Professional Maintenance"),"DOE Does Not Allow Degration of this Type Furnace",IF(AND(A13="TRUE",D13="TRUE",H18="Seldom or Never Maintained"),"DOE Does Not Allow this Maintenance Selection",IF(AND(A13="TRUE",E13="TRUE",H18="Annual Professional Maintenance"),"DOE Does Not Allow Degration of this Type Furnace",IF(AND(A13="TRUE",E13="TRUE",H18="Seldom or Never Maintained"),"DOE Does Not Allow this Maintenance Selection",IF(AND(A13="TRUE",F13="TRUE",H18="Annual Professional Maintenance"),0.01,IF(AND(A13="TRUE",F13="TRUE",H18="Seldom or Never Maintained"),"DOE Does Not Allow this Maintenance Selection",""))))))</f>
        <v/>
      </c>
      <c r="B19" s="164" t="str">
        <f>IF(AND(B13="TRUE",D13="TRUE",H18="Annual Professional Maintenance"),0.005,IF(AND(B13="TRUE",D13="TRUE",H18="Seldom or Never Maintained"),0.015,IF(AND(B13="TRUE",E13="TRUE",H18="Annual Professional Maintenance"),0.01,IF(AND(B13="TRUE",E13="TRUE",H18="Seldom or Never Maintained"),0.03,IF(AND(B13="TRUE",F13="TRUE",H18="Annual Professional Maintenance"),0.01,IF(AND(B13="TRUE",F13="TRUE",H18="Seldom or Never Maintained"),0.03,""))))))</f>
        <v/>
      </c>
      <c r="C19" s="165" t="str">
        <f>IF(AND(C13="TRUE",D13="TRUE",H18="Annual Professional Maintenance"),"DOE Does Not Allow Degration of this Type Furnace",IF(AND(C13="TRUE",D13="TRUE",H18="Seldom or Never Maintained"),"DOE Does Not Allow this Maintenance Selection",IF(AND(C13="TRUE",E13="TRUE",H18="Annual Professional Maintenance"),"DOE Does Not Allow Degration of this Type Furnace",IF(AND(C13="TRUE",E13="TRUE",H18="Seldom or Never Maintained"),"DOE Does Not Allow this Maintenance Selection",IF(AND(C13="TRUE",F13="TRUE",H18="Annual Professional Maintenance"),0.01,IF(AND(C13="TRUE",F13="TRUE",H18="Seldom or Never Maintained"),"DOE Does Not Allow this Maintenance Selection",""))))))</f>
        <v/>
      </c>
      <c r="H19" s="281"/>
      <c r="I19" s="281"/>
      <c r="J19" s="282"/>
      <c r="L19" s="132"/>
      <c r="M19" s="132"/>
      <c r="N19" s="132"/>
      <c r="O19" s="132"/>
      <c r="P19" s="132"/>
      <c r="Q19" s="132"/>
      <c r="R19" s="132"/>
      <c r="S19" s="132"/>
      <c r="T19" s="132"/>
      <c r="U19" s="132"/>
    </row>
    <row r="20" spans="1:31" s="5" customFormat="1" ht="16.5" customHeight="1" x14ac:dyDescent="0.35">
      <c r="A20" s="263" t="s">
        <v>4</v>
      </c>
      <c r="B20" s="264"/>
      <c r="C20" s="264"/>
      <c r="D20" s="264"/>
      <c r="E20" s="264"/>
      <c r="F20" s="264"/>
      <c r="G20" s="264"/>
      <c r="H20" s="265" t="str">
        <f>(CONCATENATE(A19,B19,C19,D19))</f>
        <v/>
      </c>
      <c r="I20" s="265"/>
      <c r="J20" s="266"/>
      <c r="L20" s="130" t="s">
        <v>174</v>
      </c>
      <c r="M20" s="11" t="s">
        <v>79</v>
      </c>
      <c r="N20" s="133"/>
      <c r="O20" s="133"/>
      <c r="P20" s="133"/>
      <c r="Q20" s="133"/>
      <c r="R20" s="133"/>
      <c r="S20" s="133"/>
      <c r="T20" s="133"/>
      <c r="U20" s="133"/>
      <c r="V20" s="13" t="s">
        <v>13</v>
      </c>
      <c r="W20" s="10">
        <v>81</v>
      </c>
      <c r="X20" s="8"/>
      <c r="Y20" s="12" t="s">
        <v>28</v>
      </c>
      <c r="Z20" s="10"/>
      <c r="AA20" s="10">
        <v>8.5</v>
      </c>
      <c r="AB20" s="10"/>
      <c r="AC20" s="8"/>
      <c r="AD20" s="10">
        <v>1991</v>
      </c>
      <c r="AE20" s="10">
        <v>8</v>
      </c>
    </row>
    <row r="21" spans="1:31" s="175" customFormat="1" ht="16.5" hidden="1" customHeight="1" thickBot="1" x14ac:dyDescent="0.4">
      <c r="A21" s="166" t="str">
        <f>IF(AND(A13="TRUE",H8="Gas Furnace",H18="Annual Professional Maintenance"),H12*100,IF(AND(A13="TRUE",H8="Gas Furnace",H18="Seldom or Never Maintained"),"DOE Does Not Allow this Maintenance Selection",IF(AND(A13="TRUE",H8="Electric Resistance Furnace",H18="Annual Professional Maintenance"),H14*100,IF(AND(A13="TRUE",H8="Electric Resistance Furnace",H18="Seldom or Never Maintained"),"DOE Does Not Allow this Maintenance Selection",IF(AND(A13="TRUE",H8="Heat Pump",H18="Annual Professional Maintenance"),ROUND(I16*(1-0.01)^(J3-H9),1),IF(AND(A13="TRUE",H8="Heat Pump",H18="Seldom or Never Maintained"),"DOE Does Not Allow this Maintenance Selection",""))))))</f>
        <v/>
      </c>
      <c r="B21" s="167" t="str">
        <f>IF(AND(B13="TRUE",D13="TRUE",H18="Annual Professional Maintenance"),ROUND(H12*(1-H20)^(J3-H9)*100,1),IF(AND(B13="TRUE",D13="TRUE",H18="Seldom or Never Maintained"),ROUND(H12*(1-H20)^(J3-H9)*100,1),IF(AND(B13="TRUE",E13="TRUE",H18="Annual Professional Maintenance"),ROUND(H14*(1-H20)^(J3-H9)*100,1),IF(AND(B13="TRUE",E13="TRUE",H18="Seldom or Never Maintained"),ROUND(H14*(1-H20)^(J3-H9)*100,1),IF(AND(B13="TRUE",F13="TRUE",H18="Annual Professional Maintenance"),ROUND(I16*(1-H20)^(J3-H9),1),IF(AND(B13="TRUE",F13="TRUE",H18="Seldom or Never Maintained"),ROUND(I16*(1-H20)^(J3-H9),1),""))))))</f>
        <v/>
      </c>
      <c r="C21" s="168" t="str">
        <f>IF(AND(C13="TRUE",H8="Gas Furnace",H18="Annual Professional Maintenance"),H12*100,IF(AND(C13="TRUE",H8="Gas Furnace",H18="Seldom or Never Maintained"),"DOE Does Not Allow this Maintenance Selection",IF(AND(C13="TRUE",H8="Electric Resistance Furnace",H18="Annual Professional Maintenance"),H14*100,IF(AND(C13="TRUE",H8="Electric Resistance Furnace",H18="Seldom or Never Maintained"),"DOE Does Not Allow this Maintenance Selection",IF(AND(C13="TRUE",H8="Heat Pump",H18="Annual Professional Maintenance"),ROUND(I16*(1-0.01)^(J3-H9),1),IF(AND(C13="TRUE",H8="Heat Pump",H18="Seldom or Never Maintained"),"DOE Does Not Allow this Maintenance Selection",""))))))</f>
        <v/>
      </c>
      <c r="D21" s="169" t="str">
        <f>CONCATENATE(A21,B21,C21)</f>
        <v/>
      </c>
      <c r="E21" s="168"/>
      <c r="F21" s="170"/>
      <c r="G21" s="171"/>
      <c r="H21" s="172"/>
      <c r="I21" s="173" t="str">
        <f>IF(AND(H8="Electric Resistance Furnace",H18="Annual Professional Maintenance")," % of Efficiency",IF(AND(H8="Gas Furnace",H18="Annual Professional Maintenance"),"% AFUE",IF(AND(H8="Heat Pump",H18="Annual Professional Maintenance")," HSPF",IF(AND(H7="LIHEAP",H8="Electric Resistance Furnace",H18="Seldom Or Never Maintained"),"% of Efficiency",IF(AND(H7="LIHEAP",H8="Gas Furnace",H18="Seldom Or Never Maintained")," % AFUE",IF(AND(H7="LIHEAP",H8="Heat Pump",H18="Seldom Or Never Maintained")," HSPF",""))))))</f>
        <v/>
      </c>
      <c r="J21" s="174" t="str">
        <f>CONCATENATE(D21,I21)</f>
        <v/>
      </c>
      <c r="L21" s="176"/>
      <c r="M21" s="176"/>
      <c r="N21" s="176"/>
      <c r="O21" s="176"/>
      <c r="P21" s="176"/>
      <c r="Q21" s="176"/>
      <c r="R21" s="176"/>
      <c r="S21" s="176"/>
      <c r="T21" s="176"/>
      <c r="U21" s="176"/>
      <c r="V21" s="177"/>
      <c r="W21" s="177"/>
      <c r="Y21" s="177"/>
      <c r="Z21" s="177"/>
      <c r="AA21" s="177"/>
      <c r="AB21" s="177"/>
      <c r="AD21" s="177"/>
      <c r="AE21" s="177"/>
    </row>
    <row r="22" spans="1:31" ht="16.5" customHeight="1" thickBot="1" x14ac:dyDescent="0.4">
      <c r="A22" s="236" t="s">
        <v>21</v>
      </c>
      <c r="B22" s="237"/>
      <c r="C22" s="238"/>
      <c r="D22" s="239"/>
      <c r="E22" s="239"/>
      <c r="F22" s="239"/>
      <c r="G22" s="240"/>
      <c r="H22" s="283" t="str">
        <f>J21</f>
        <v/>
      </c>
      <c r="I22" s="283"/>
      <c r="J22" s="284"/>
      <c r="K22" s="141"/>
      <c r="L22" s="130" t="s">
        <v>174</v>
      </c>
      <c r="M22" s="11" t="s">
        <v>20</v>
      </c>
      <c r="N22" s="9"/>
      <c r="O22" s="9"/>
      <c r="P22" s="9"/>
      <c r="Q22" s="9"/>
      <c r="R22" s="9"/>
      <c r="S22" s="9"/>
      <c r="T22" s="9"/>
      <c r="U22" s="9"/>
      <c r="V22" s="13" t="s">
        <v>12</v>
      </c>
      <c r="W22" s="10">
        <v>71</v>
      </c>
      <c r="Y22" s="12" t="s">
        <v>26</v>
      </c>
      <c r="Z22" s="10"/>
      <c r="AA22" s="10">
        <v>7.5</v>
      </c>
      <c r="AB22" s="10"/>
      <c r="AD22" s="10">
        <v>1992</v>
      </c>
      <c r="AE22" s="10">
        <v>10</v>
      </c>
    </row>
    <row r="23" spans="1:31" ht="16.5" customHeight="1" x14ac:dyDescent="0.35">
      <c r="A23" s="178" t="s">
        <v>17</v>
      </c>
      <c r="H23" s="9"/>
      <c r="I23" s="179"/>
      <c r="J23" s="179"/>
      <c r="K23" s="142"/>
      <c r="L23" s="9"/>
      <c r="M23" s="9"/>
      <c r="N23" s="9"/>
      <c r="O23" s="9"/>
      <c r="P23" s="9"/>
      <c r="Q23" s="9"/>
      <c r="R23" s="9"/>
      <c r="S23" s="9"/>
      <c r="T23" s="9"/>
      <c r="U23" s="9"/>
      <c r="V23" s="13" t="s">
        <v>11</v>
      </c>
      <c r="W23" s="10">
        <v>80</v>
      </c>
      <c r="Y23" s="12" t="s">
        <v>24</v>
      </c>
      <c r="Z23" s="10"/>
      <c r="AA23" s="10">
        <v>6.5</v>
      </c>
      <c r="AB23" s="10"/>
      <c r="AD23" s="10">
        <v>1993</v>
      </c>
      <c r="AE23" s="10">
        <v>10</v>
      </c>
    </row>
    <row r="24" spans="1:31" ht="15.65" customHeight="1" x14ac:dyDescent="0.35">
      <c r="A24" s="178" t="s">
        <v>14</v>
      </c>
      <c r="H24" s="76"/>
      <c r="I24" s="76"/>
      <c r="J24" s="76"/>
      <c r="K24" s="180"/>
      <c r="L24" s="9"/>
      <c r="M24"/>
      <c r="N24" s="135"/>
      <c r="O24" s="9"/>
      <c r="P24" s="9"/>
      <c r="Q24" s="9"/>
      <c r="R24" s="9"/>
      <c r="S24" s="9"/>
      <c r="T24" s="9"/>
      <c r="U24" s="9"/>
      <c r="V24" s="13" t="s">
        <v>10</v>
      </c>
      <c r="W24" s="10">
        <v>82</v>
      </c>
      <c r="Y24" s="12" t="s">
        <v>22</v>
      </c>
      <c r="Z24" s="10"/>
      <c r="AA24" s="10">
        <v>9</v>
      </c>
      <c r="AB24" s="10"/>
      <c r="AD24" s="10">
        <v>1994</v>
      </c>
      <c r="AE24" s="10">
        <v>10</v>
      </c>
    </row>
    <row r="25" spans="1:31" ht="15.65" customHeight="1" x14ac:dyDescent="0.35">
      <c r="A25" s="178" t="s">
        <v>2</v>
      </c>
      <c r="H25" s="9"/>
      <c r="I25" s="76"/>
      <c r="J25" s="76"/>
      <c r="L25" s="9"/>
      <c r="M25"/>
      <c r="N25" s="9"/>
      <c r="O25" s="9"/>
      <c r="P25" s="9"/>
      <c r="Q25" s="9"/>
      <c r="R25" s="9"/>
      <c r="S25" s="9"/>
      <c r="T25" s="9"/>
      <c r="U25" s="9"/>
      <c r="V25" s="13" t="s">
        <v>9</v>
      </c>
      <c r="W25" s="10">
        <v>100</v>
      </c>
      <c r="Y25" s="12" t="s">
        <v>18</v>
      </c>
      <c r="Z25" s="10"/>
      <c r="AA25" s="10">
        <v>8.5</v>
      </c>
      <c r="AB25" s="10"/>
      <c r="AD25" s="10">
        <v>1995</v>
      </c>
      <c r="AE25" s="10">
        <v>10</v>
      </c>
    </row>
    <row r="26" spans="1:31" ht="15.65" customHeight="1" x14ac:dyDescent="0.35">
      <c r="A26" s="178" t="s">
        <v>1</v>
      </c>
      <c r="H26" s="9"/>
      <c r="I26" s="76"/>
      <c r="J26" s="76"/>
      <c r="K26" s="181"/>
      <c r="L26" s="9"/>
      <c r="M26" s="9"/>
      <c r="N26" s="9"/>
      <c r="O26" s="9"/>
      <c r="P26" s="9"/>
      <c r="Q26" s="9"/>
      <c r="R26" s="9"/>
      <c r="S26" s="9"/>
      <c r="T26" s="9"/>
      <c r="U26" s="9"/>
      <c r="V26" s="13" t="s">
        <v>7</v>
      </c>
      <c r="W26" s="10">
        <v>98</v>
      </c>
      <c r="Y26" s="12" t="s">
        <v>15</v>
      </c>
      <c r="Z26" s="10"/>
      <c r="AA26" s="10">
        <v>25</v>
      </c>
      <c r="AB26" s="10"/>
      <c r="AD26" s="10">
        <v>1996</v>
      </c>
      <c r="AE26" s="10">
        <v>10</v>
      </c>
    </row>
    <row r="27" spans="1:31" ht="15.65" customHeight="1" thickBot="1" x14ac:dyDescent="0.4">
      <c r="A27" s="182" t="s">
        <v>0</v>
      </c>
      <c r="H27" s="76"/>
      <c r="I27" s="76"/>
      <c r="J27" s="76"/>
      <c r="L27" s="9"/>
      <c r="M27" s="9"/>
      <c r="N27" s="9"/>
      <c r="O27" s="9"/>
      <c r="P27" s="9"/>
      <c r="Q27" s="9"/>
      <c r="R27" s="9"/>
      <c r="S27" s="9"/>
      <c r="T27" s="9"/>
      <c r="U27" s="9"/>
      <c r="V27" s="13" t="s">
        <v>6</v>
      </c>
      <c r="W27" s="10">
        <v>100</v>
      </c>
      <c r="Y27" s="7" t="s">
        <v>61</v>
      </c>
      <c r="AD27" s="10">
        <v>1997</v>
      </c>
      <c r="AE27" s="10">
        <v>10</v>
      </c>
    </row>
    <row r="28" spans="1:31" ht="19" thickBot="1" x14ac:dyDescent="0.4">
      <c r="A28" s="285" t="s">
        <v>62</v>
      </c>
      <c r="B28" s="286"/>
      <c r="C28" s="286"/>
      <c r="D28" s="286"/>
      <c r="E28" s="286"/>
      <c r="F28" s="286"/>
      <c r="G28" s="286"/>
      <c r="H28" s="286"/>
      <c r="I28" s="286"/>
      <c r="J28" s="287"/>
      <c r="L28" s="9" t="s">
        <v>8</v>
      </c>
      <c r="M28" s="9"/>
      <c r="N28" s="9"/>
      <c r="O28" s="9"/>
      <c r="P28" s="9"/>
      <c r="Q28" s="9"/>
      <c r="R28" s="9"/>
      <c r="S28" s="9"/>
      <c r="T28" s="9"/>
      <c r="U28" s="9"/>
      <c r="V28" s="7" t="s">
        <v>61</v>
      </c>
      <c r="AD28" s="10">
        <v>1999</v>
      </c>
      <c r="AE28" s="10">
        <v>10</v>
      </c>
    </row>
    <row r="29" spans="1:31" ht="16.75" customHeight="1" x14ac:dyDescent="0.35">
      <c r="A29" s="259" t="s">
        <v>69</v>
      </c>
      <c r="B29" s="260"/>
      <c r="C29" s="260"/>
      <c r="D29" s="260"/>
      <c r="E29" s="260"/>
      <c r="F29" s="260"/>
      <c r="G29" s="260"/>
      <c r="H29" s="257" t="s">
        <v>103</v>
      </c>
      <c r="I29" s="257"/>
      <c r="J29" s="258"/>
      <c r="L29" s="130" t="s">
        <v>174</v>
      </c>
      <c r="M29" s="11" t="s">
        <v>73</v>
      </c>
      <c r="N29" s="9"/>
      <c r="O29" s="9"/>
      <c r="P29" s="9"/>
      <c r="Q29" s="9"/>
      <c r="R29" s="9"/>
      <c r="S29" s="9"/>
      <c r="T29" s="9"/>
      <c r="U29" s="9"/>
      <c r="AD29" s="10">
        <v>2000</v>
      </c>
      <c r="AE29" s="10">
        <v>12</v>
      </c>
    </row>
    <row r="30" spans="1:31" ht="16.5" customHeight="1" x14ac:dyDescent="0.35">
      <c r="A30" s="241" t="s">
        <v>82</v>
      </c>
      <c r="B30" s="242"/>
      <c r="C30" s="242"/>
      <c r="D30" s="242"/>
      <c r="E30" s="242"/>
      <c r="F30" s="242"/>
      <c r="G30" s="242"/>
      <c r="H30" s="243" t="s">
        <v>183</v>
      </c>
      <c r="I30" s="243"/>
      <c r="J30" s="244"/>
      <c r="L30" s="130" t="s">
        <v>174</v>
      </c>
      <c r="M30" s="11" t="s">
        <v>74</v>
      </c>
      <c r="N30" s="9"/>
      <c r="O30" s="9"/>
      <c r="P30" s="9"/>
      <c r="Q30" s="9"/>
      <c r="R30" s="9"/>
      <c r="S30" s="9"/>
      <c r="T30" s="9"/>
      <c r="U30" s="9"/>
      <c r="AD30" s="10">
        <v>2001</v>
      </c>
      <c r="AE30" s="10">
        <v>12</v>
      </c>
    </row>
    <row r="31" spans="1:31" ht="15.5" x14ac:dyDescent="0.35">
      <c r="A31" s="296" t="s">
        <v>78</v>
      </c>
      <c r="B31" s="297"/>
      <c r="C31" s="297"/>
      <c r="D31" s="297"/>
      <c r="E31" s="297"/>
      <c r="F31" s="297"/>
      <c r="G31" s="297"/>
      <c r="H31" s="298"/>
      <c r="I31" s="298"/>
      <c r="J31" s="299"/>
      <c r="L31" s="130" t="s">
        <v>174</v>
      </c>
      <c r="M31" s="11" t="s">
        <v>72</v>
      </c>
      <c r="N31" s="9"/>
      <c r="O31" s="9"/>
      <c r="P31" s="9"/>
      <c r="Q31" s="9"/>
      <c r="R31" s="9"/>
      <c r="S31" s="9"/>
      <c r="T31" s="9"/>
      <c r="U31" s="9"/>
      <c r="AB31" s="7"/>
      <c r="AD31" s="10">
        <v>2002</v>
      </c>
      <c r="AE31" s="10">
        <v>12</v>
      </c>
    </row>
    <row r="32" spans="1:31" s="32" customFormat="1" ht="0.5" customHeight="1" x14ac:dyDescent="0.35">
      <c r="A32" s="183" t="b">
        <f>IF(H29="DOE",TRUE,FALSE)</f>
        <v>0</v>
      </c>
      <c r="B32" s="184" t="b">
        <f>IF(H29="LIHEAP",TRUE,FALSE)</f>
        <v>0</v>
      </c>
      <c r="C32" s="184" t="b">
        <f>IF(H29="DOE &amp; LIHEAP",TRUE,FALSE)</f>
        <v>0</v>
      </c>
      <c r="D32" s="184" t="b">
        <f>IF(H30="Split System AC",TRUE,FALSE)</f>
        <v>0</v>
      </c>
      <c r="E32" s="184" t="b">
        <f>IF(H30="Heat Pump", TRUE,FALSE)</f>
        <v>0</v>
      </c>
      <c r="F32" s="184" t="b">
        <f>IF(H30="Evaporative Cooler",TRUE,FALSE)</f>
        <v>0</v>
      </c>
      <c r="G32" s="185" t="str">
        <f>IF(AND(D32=FALSE,E32=FALSE,F32=FALSE),"",IF(AND(D32=TRUE,H31&gt;1,H33&gt;1),H33,IF(AND(D32=TRUE,H33&lt;1,H31&gt;=1980),VLOOKUP(H31,AD3:AE56,2),IF(AND(E32=TRUE,H31&gt;1,H33&gt;1),H33,IF(AND(E32=TRUE,H33&lt;1,H31&gt;=1),VLOOKUP(H31,AD3:AE56,2),IF(AND(F32=TRUE,H33&gt;1,H31&gt;=1),25,IF(AND(F32=TRUE,H33&lt;1,H31&gt;=1),25,"")))))))</f>
        <v/>
      </c>
      <c r="J32" s="186"/>
      <c r="L32" s="131"/>
      <c r="M32" s="131"/>
      <c r="N32" s="131"/>
      <c r="O32" s="131"/>
      <c r="P32" s="131"/>
      <c r="Q32" s="131"/>
      <c r="R32" s="131"/>
      <c r="S32" s="131"/>
      <c r="T32" s="131"/>
      <c r="U32" s="131"/>
      <c r="W32" s="161"/>
      <c r="X32" s="161"/>
      <c r="Y32" s="161"/>
      <c r="Z32" s="161"/>
      <c r="AA32" s="161"/>
      <c r="AC32" s="161"/>
    </row>
    <row r="33" spans="1:31" ht="16" customHeight="1" thickBot="1" x14ac:dyDescent="0.4">
      <c r="A33" s="263" t="s">
        <v>168</v>
      </c>
      <c r="B33" s="264"/>
      <c r="C33" s="264"/>
      <c r="D33" s="264"/>
      <c r="E33" s="264"/>
      <c r="F33" s="264"/>
      <c r="G33" s="264"/>
      <c r="H33" s="28"/>
      <c r="I33" s="228" t="str">
        <f>I34</f>
        <v/>
      </c>
      <c r="J33" s="229" t="str">
        <f>IF(OR(H30="Split System AC",H30="Heat Pump",H30="Evaporative Cooler"),"SEER","")</f>
        <v/>
      </c>
      <c r="L33" s="187" t="s">
        <v>174</v>
      </c>
      <c r="M33" s="9" t="s">
        <v>68</v>
      </c>
      <c r="N33" s="9"/>
      <c r="O33" s="9"/>
      <c r="P33" s="9"/>
      <c r="Q33" s="9"/>
      <c r="R33" s="9"/>
      <c r="S33" s="9"/>
      <c r="T33" s="9"/>
      <c r="U33" s="9"/>
      <c r="AD33" s="10">
        <v>2003</v>
      </c>
      <c r="AE33" s="10">
        <v>12</v>
      </c>
    </row>
    <row r="34" spans="1:31" s="32" customFormat="1" ht="1" hidden="1" customHeight="1" x14ac:dyDescent="0.35">
      <c r="A34" s="188"/>
      <c r="B34" s="189"/>
      <c r="C34" s="189"/>
      <c r="D34" s="189"/>
      <c r="E34" s="189"/>
      <c r="F34" s="189"/>
      <c r="G34" s="190"/>
      <c r="I34" s="132" t="str">
        <f>IF(AND(H30="Split System AC",H33&gt;8),H33,IF(AND(H30="Split System AC",H33&lt;8),VLOOKUP(H31,AD3:AE62,2,),IF(AND(H30="Heat Pump",H33&gt;8),H33,IF(AND(H30="Heat Pump",H33&lt;8),VLOOKUP(H31,AD3:AE62,2,),IF(AND(H30="Evaporative Cooler",H31&gt;1980),25,"")))))</f>
        <v/>
      </c>
      <c r="J34" s="186"/>
      <c r="L34" s="131"/>
      <c r="M34" s="131"/>
      <c r="N34" s="131"/>
      <c r="O34" s="131"/>
      <c r="P34" s="131"/>
      <c r="Q34" s="131"/>
      <c r="R34" s="131"/>
      <c r="S34" s="131"/>
      <c r="T34" s="131"/>
      <c r="U34" s="131"/>
      <c r="W34" s="161"/>
      <c r="X34" s="161"/>
      <c r="Y34" s="161"/>
      <c r="Z34" s="161"/>
      <c r="AA34" s="161"/>
      <c r="AB34" s="161"/>
      <c r="AC34" s="161"/>
    </row>
    <row r="35" spans="1:31" s="32" customFormat="1" ht="16.5" customHeight="1" x14ac:dyDescent="0.35">
      <c r="A35" s="300" t="s">
        <v>167</v>
      </c>
      <c r="B35" s="301"/>
      <c r="C35" s="301"/>
      <c r="D35" s="301"/>
      <c r="E35" s="301"/>
      <c r="F35" s="301"/>
      <c r="G35" s="301"/>
      <c r="H35" s="191"/>
      <c r="I35" s="192" t="e">
        <f>(IF(AND(H30="Split System AC",H33&gt;8),H33,IF(AND(H30="Split System AC",H33&lt;8),VLOOKUP(H31,AD3:AE62,2,),IF(AND(H30="Heat Pump",H33&gt;8),H33,IF(AND(H30="Heat Pump",H33&lt;8),VLOOKUP(H31,AD3:AE62,2,),IF(AND(H30="Evaporative Cooler",H31&gt;1980),25,""))))))/1.05</f>
        <v>#VALUE!</v>
      </c>
      <c r="J35" s="193" t="s">
        <v>166</v>
      </c>
      <c r="L35" s="130" t="s">
        <v>174</v>
      </c>
      <c r="M35" s="9" t="s">
        <v>180</v>
      </c>
      <c r="N35" s="131"/>
      <c r="O35" s="131"/>
      <c r="P35" s="131"/>
      <c r="Q35" s="131"/>
      <c r="R35" s="131"/>
      <c r="S35" s="131"/>
      <c r="T35" s="131"/>
      <c r="U35" s="131"/>
      <c r="W35" s="161"/>
      <c r="X35" s="161"/>
      <c r="Y35" s="161"/>
      <c r="Z35" s="161"/>
      <c r="AA35" s="161"/>
      <c r="AB35" s="161"/>
      <c r="AC35" s="161"/>
    </row>
    <row r="36" spans="1:31" ht="15.5" customHeight="1" x14ac:dyDescent="0.35">
      <c r="A36" s="263" t="s">
        <v>100</v>
      </c>
      <c r="B36" s="264"/>
      <c r="C36" s="264"/>
      <c r="D36" s="264"/>
      <c r="E36" s="264"/>
      <c r="F36" s="264"/>
      <c r="G36" s="264"/>
      <c r="H36" s="243" t="s">
        <v>181</v>
      </c>
      <c r="I36" s="243"/>
      <c r="J36" s="244"/>
      <c r="L36" s="187" t="s">
        <v>174</v>
      </c>
      <c r="M36" s="9" t="s">
        <v>5</v>
      </c>
      <c r="N36" s="9"/>
      <c r="O36" s="9"/>
      <c r="P36" s="9"/>
      <c r="Q36" s="9"/>
      <c r="R36" s="9"/>
      <c r="S36" s="9"/>
      <c r="T36" s="9"/>
      <c r="U36" s="9"/>
      <c r="AD36" s="10">
        <v>2004</v>
      </c>
      <c r="AE36" s="10">
        <v>12</v>
      </c>
    </row>
    <row r="37" spans="1:31" s="32" customFormat="1" ht="1" customHeight="1" x14ac:dyDescent="0.35">
      <c r="A37" s="194" t="str">
        <f>IF(AND(A32=TRUE,H30="Split System AC",H36="Annual Professional Maintenance"),0.01,IF(AND(A32=TRUE,H30="Split System AC",H36="Seldom or Never Maintained"),"DOE Does Not Allow this Selection",IF(AND(A32=TRUE,H30="Heat Pump",H36="Annual Professional Maintenance"),0.01,IF(AND(A32=TRUE,H30="Heat Pump",H36="Seldom or Never Maintained"),"DOE Does Not Allow this Selection",IF(AND(A32=TRUE,H30="Evaporative Cooler",H36="Annual Professional Maintenance"),"Degradation Not Allowed",IF(AND(A32=TRUE,H30="Evaporative Cooler",H36="Seldom or Never Maintained"),"DOE Does Not Allow this Selection",""))))))</f>
        <v/>
      </c>
      <c r="B37" s="195" t="str">
        <f>IF(AND(B32=TRUE,H30="Split System AC",H36="Annual Professional Maintenance"),0.01,IF(AND(B32=TRUE,H30="Split System AC",H36="Seldom or Never Maintained"),0.03,IF(AND(B32=TRUE,H30="Heat Pump",H36="Annual Professional Maintenance"),0.01,IF(AND(B32=TRUE,H30="Heat Pump",H36="Seldom or Never Maintained"),0.03,IF(AND(B32=TRUE,H30="Evaporative Cooler",H36="Annual Professional Maintenance"),"Degradation Not Allowed",IF(AND(B32=TRUE,H30="Evaporative Cooler",H36="Seldom or Never Maintained"),"Degradation Not Allowed",""))))))</f>
        <v/>
      </c>
      <c r="C37" t="str">
        <f>IF(AND(C32=TRUE,H30="Split System AC",H36="Annual Professional Maintenance"),0.01,IF(AND(C32=TRUE,H30="Split System AC",H36="Seldom or Never Maintained"),"DOE Does Not Allow this Selection",IF(AND(C32=TRUE,H30="Heat Pump",H36="Annual Professional Maintenance"),0.01,IF(AND(C32=TRUE,H30="Heat Pump",H36="Seldom or Never Maintained")," DOE Does Not Allow this Selection ",IF(AND(C32=TRUE,H30="Evaporative Cooler",H36="Annual Professional Maintenance"),"Degradation Not Allowed",IF(AND(C32=TRUE,H30="Evaporative Cooler",H36="Seldom or Never Maintained"),"DOE Does Not Allow this Selection",""))))))</f>
        <v/>
      </c>
      <c r="D37" s="189"/>
      <c r="E37" s="189"/>
      <c r="F37" s="189"/>
      <c r="G37" s="189"/>
      <c r="H37" s="32" t="str">
        <f>IF(A32=TRUE,A37,IF(B32=TRUE,B37,IF(C32=TRUE,C37,"")))</f>
        <v/>
      </c>
      <c r="I37" s="33"/>
      <c r="J37" s="186"/>
      <c r="L37" s="196"/>
      <c r="M37" s="131"/>
      <c r="N37" s="131"/>
      <c r="O37" s="131"/>
      <c r="P37" s="131"/>
      <c r="Q37" s="131"/>
      <c r="R37" s="131"/>
      <c r="S37" s="131"/>
      <c r="T37" s="131"/>
      <c r="U37" s="131"/>
      <c r="W37" s="161"/>
      <c r="X37" s="161"/>
      <c r="Y37" s="161"/>
      <c r="Z37" s="161"/>
      <c r="AA37" s="161"/>
      <c r="AB37" s="161"/>
      <c r="AC37" s="161"/>
      <c r="AD37" s="197"/>
      <c r="AE37" s="197"/>
    </row>
    <row r="38" spans="1:31" ht="14" customHeight="1" x14ac:dyDescent="0.35">
      <c r="A38" s="263" t="s">
        <v>101</v>
      </c>
      <c r="B38" s="264"/>
      <c r="C38" s="264"/>
      <c r="D38" s="264"/>
      <c r="E38" s="264"/>
      <c r="F38" s="264"/>
      <c r="G38" s="264"/>
      <c r="H38" s="288" t="str">
        <f>H37</f>
        <v/>
      </c>
      <c r="I38" s="289"/>
      <c r="J38" s="290"/>
      <c r="L38" s="187" t="s">
        <v>174</v>
      </c>
      <c r="M38" s="9" t="s">
        <v>79</v>
      </c>
      <c r="N38" s="9"/>
      <c r="O38" s="9"/>
      <c r="P38" s="9"/>
      <c r="Q38" s="9"/>
      <c r="R38" s="9"/>
      <c r="S38" s="9"/>
      <c r="T38" s="9"/>
      <c r="U38" s="9"/>
      <c r="AD38" s="10">
        <v>2005</v>
      </c>
      <c r="AE38" s="10">
        <v>12</v>
      </c>
    </row>
    <row r="39" spans="1:31" s="32" customFormat="1" ht="0.5" hidden="1" customHeight="1" x14ac:dyDescent="0.35">
      <c r="A39" s="198">
        <f>J3-H31</f>
        <v>0</v>
      </c>
      <c r="B39" s="199" t="str">
        <f>IF(AND(A32=TRUE,H30="Split System AC",H36="Annual Professional Maintenance"),ROUND(I33*(1-0.01)^A39,1),IF(AND(A32=TRUE,H30="Split System AC",H36="Seldom or Never Maintained"),"DOE Does Not Allow Equipment Maintenance Selection",IF(AND(A32=TRUE,H30="Heat Pump",H36="Annual Professional Maintenance"),ROUND(I33*(1-0.01)^A39,1),IF(AND(A32=TRUE,H30="Heat Pump",H36="Seldom or Never Maintained"),"DOE Does Not Allow Equipment Maintenance Selection",IF(AND(A32=TRUE,H30="Evaporative Cooler",H36="Annual Professional Maintenance"),"Degradation Not Allowed",IF(AND(A32=TRUE,H30="Evaporative Cooler",H36="Seldom or Never Maintained"),"DOE Does Not Allow Equipment Maintenance Selection",""))))))</f>
        <v/>
      </c>
      <c r="C39" s="200" t="str">
        <f>IF(AND(B32=TRUE,H30="Split System AC",H36="Annual Professional Maintenance"),ROUND(I33*(1-0.01)^A39,1),IF(AND(B32=TRUE,H30="Split System AC",H36="Seldom or Never Maintained"),ROUND(I33*(1-0.02)^A39,1),IF(AND(B32=TRUE,H30="Heat Pump",H36="Annual Professional Maintenance"),ROUND(I33*(1-0.01)^A39,1),IF(AND(B32=TRUE,H30="Heat Pump",H36="Seldom or Never Maintained"),ROUND(I33*(1-0.02)^A39,1),IF(AND(B32=TRUE,H30="Evaporative Cooler",H36="Annual Professional Maintenance"),"Degradation Not Allowed",IF(AND(B32=TRUE,H30="Evaporative Cooler",H36="Seldom or Never Maintained"),"Degradation Not Allowed",""))))))</f>
        <v/>
      </c>
      <c r="D39" s="201" t="str">
        <f>IF(AND(C32=TRUE,H30="Split System AC",H36="Annual Professional Maintenance"),ROUND(I33*(1-C37)^A39,1),IF(AND(C32=TRUE,H30="Split System AC",H36="Seldom or Never Maintained"),"DOE Does Not Allow Equipment Maintenance Selection",IF(AND(C32=TRUE,H30="Heat Pump",H36="Annual Professional Maintenance"),ROUND(I33*(1-C37)^A39,1),IF(AND(C32=TRUE,H30="Heat Pump",H36="Seldom or Never Maintained"),"DOE Does Not Allow Equipment Maintenance Selection",IF(AND(C32=TRUE,H30="Evaporative Cooler",H36="Annual Professional Maintenance"),"Degradation Not Allowed",IF(AND(C32=TRUE,H30="Evaporative Cooler",H36="Seldom or Never Maintained"),"DOE Does Not Allow Equipment Maintenance Selection",""))))))</f>
        <v/>
      </c>
      <c r="E39" s="195"/>
      <c r="G39" s="202" t="b">
        <f>IF(C4&gt;1,CONCATENATE(B39,C39,D39,""))</f>
        <v>0</v>
      </c>
      <c r="H39" s="32" t="str">
        <f>IF(OR(G39="DOE Does Not Allow Equipment Maintenance Selection",G39="Degradation Not Allowed"),""," SEER")</f>
        <v xml:space="preserve"> SEER</v>
      </c>
      <c r="J39" s="186"/>
      <c r="L39" s="131"/>
      <c r="M39" s="131"/>
      <c r="N39" s="131"/>
      <c r="O39" s="131"/>
      <c r="P39" s="131"/>
      <c r="Q39" s="131"/>
      <c r="R39" s="131"/>
      <c r="S39" s="131"/>
      <c r="T39" s="131"/>
      <c r="U39" s="131"/>
      <c r="W39" s="161"/>
      <c r="X39" s="161"/>
      <c r="Y39" s="161"/>
      <c r="Z39" s="161"/>
      <c r="AA39" s="161"/>
      <c r="AB39" s="161"/>
      <c r="AC39" s="161"/>
    </row>
    <row r="40" spans="1:31" s="32" customFormat="1" ht="15.5" hidden="1" x14ac:dyDescent="0.35">
      <c r="A40" s="198">
        <f>J3-H31</f>
        <v>0</v>
      </c>
      <c r="B40" s="199" t="str">
        <f>IF(AND(A32=TRUE,H30="Split System AC",H36="Annual Professional Maintenance"),ROUND(I33*(1-0.01)^A39,1),IF(AND(A32=TRUE,H30="Split System AC",H36="Seldom or Never Maintained"),"DOE Does Not Allow Equipment Maintenance Selection",IF(AND(A32=TRUE,H30="Heat Pump",H36="Annual Professional Maintenance"),ROUND(I33*(1-0.01)^A39,1),IF(AND(A32=TRUE,H30="Heat Pump",H36="Seldom or Never Maintained"),"DOE Does Not Allow Equipment Maintenance Selection",IF(AND(A32=TRUE,H30="Evaporative Cooler",H36="Annual Professional Maintenance"),"Degradation Not Allowed",IF(AND(A32=TRUE,H30="Evaporative Cooler",H36="Seldom or Never Maintained"),"DOE Does Not Allow Equipment Maintenance Selection",""))))))</f>
        <v/>
      </c>
      <c r="C40" s="200" t="str">
        <f>IF(AND(B32=TRUE,H30="Split System AC",H36="Annual Professional Maintenance"),ROUND(ROUND(I33*(1-0.01)^A39,1)/1.05,1),IF(AND(B32=TRUE,H30="Split System AC",H36="Seldom or Never Maintained"),ROUND(ROUND(I33*(1-0.02)^A39,1)/1.05,1),IF(AND(B32=TRUE,H30="Heat Pump",H36="Annual Professional Maintenance"),ROUND(ROUND(I33*(1-0.01)^A39,1)/1.05,1),IF(AND(B32=TRUE,H30="Heat Pump",H36="Seldom or Never Maintained"),ROUND(ROUND(I33*(1-0.02)^A39,1)/1.05,1),IF(AND(B32=TRUE,H30="Evaporative Cooler",H36="Annual Professional Maintenance"),"Degradation Not Allowed",IF(AND(B32=TRUE,H30="Evaporative Cooler",H36="Seldom or Never Maintained"),"Degradation Not Allowed",""))))))</f>
        <v/>
      </c>
      <c r="D40" s="201" t="str">
        <f>IF(AND(C33=TRUE,H31="Split System AC",H37="Annual Professional Maintenance"),ROUND(I34*(1-C38)^A40,1),IF(AND(C33=TRUE,H31="Split System AC",H37="Seldom or Never Maintained"),"DOE Does Not Allow Equipment Maintenance Selection",IF(AND(C33=TRUE,H31="Heat Pump",H37="Annual Professional Maintenance"),ROUND(I34*(1-C38)^A40,1),IF(AND(C33=TRUE,H31="Heat Pump",H37="Seldom or Never Maintained"),"DOE Does Not Allow Equipment Maintenance Selection",IF(AND(C33=TRUE,H31="Evaporative Cooler",H37="Annual Professional Maintenance"),"Degradation Not Allowed",IF(AND(C33=TRUE,H31="Evaporative Cooler",H37="Seldom or Never Maintained"),"DOE Does Not Allow Equipment Maintenance Selection",""))))))</f>
        <v/>
      </c>
      <c r="E40" s="195"/>
      <c r="G40" s="202" t="b">
        <f>IF(C4&gt;1,CONCATENATE(B40,C40,D40,""))</f>
        <v>0</v>
      </c>
      <c r="H40" s="32" t="str">
        <f>IF(OR(G40="DOE Does Not Allow Equipment Maintenance Selection",G40="Degradation Not Allowed"),""," SEER2")</f>
        <v xml:space="preserve"> SEER2</v>
      </c>
      <c r="J40" s="186"/>
      <c r="L40" s="131"/>
      <c r="M40" s="131"/>
      <c r="N40" s="131"/>
      <c r="O40" s="131"/>
      <c r="P40" s="131"/>
      <c r="Q40" s="131"/>
      <c r="R40" s="131"/>
      <c r="S40" s="131"/>
      <c r="T40" s="131"/>
      <c r="U40" s="131"/>
      <c r="W40" s="161"/>
      <c r="X40" s="161"/>
      <c r="Y40" s="161"/>
      <c r="Z40" s="161"/>
      <c r="AA40" s="161"/>
      <c r="AB40" s="161"/>
      <c r="AC40" s="161"/>
    </row>
    <row r="41" spans="1:31" ht="16.5" customHeight="1" x14ac:dyDescent="0.35">
      <c r="A41" s="230" t="s">
        <v>169</v>
      </c>
      <c r="B41" s="231"/>
      <c r="C41" s="231"/>
      <c r="D41" s="231"/>
      <c r="E41" s="231"/>
      <c r="F41" s="231"/>
      <c r="G41" s="231"/>
      <c r="H41" s="291" t="str">
        <f>IF(H31&gt;1980,CONCATENATE(G39,H39),"")</f>
        <v/>
      </c>
      <c r="I41" s="291"/>
      <c r="J41" s="292"/>
      <c r="L41" s="187" t="s">
        <v>174</v>
      </c>
      <c r="M41" s="9" t="s">
        <v>67</v>
      </c>
      <c r="N41" s="9"/>
      <c r="O41" s="9"/>
      <c r="P41" s="9"/>
      <c r="Q41" s="9"/>
      <c r="R41" s="9"/>
      <c r="S41" s="9"/>
      <c r="T41" s="9"/>
      <c r="U41" s="9"/>
      <c r="AD41" s="10">
        <v>2006</v>
      </c>
      <c r="AE41" s="10">
        <v>12</v>
      </c>
    </row>
    <row r="42" spans="1:31" ht="16.5" customHeight="1" thickBot="1" x14ac:dyDescent="0.4">
      <c r="A42" s="232" t="s">
        <v>170</v>
      </c>
      <c r="B42" s="233"/>
      <c r="C42" s="234" t="s">
        <v>182</v>
      </c>
      <c r="D42" s="234"/>
      <c r="E42" s="233"/>
      <c r="F42" s="233"/>
      <c r="G42" s="235"/>
      <c r="H42" s="293" t="str">
        <f>IF(H31&gt;1980,CONCATENATE(G40,H40),"")</f>
        <v/>
      </c>
      <c r="I42" s="294"/>
      <c r="J42" s="295"/>
      <c r="L42" s="187" t="s">
        <v>174</v>
      </c>
      <c r="M42" s="9" t="s">
        <v>67</v>
      </c>
      <c r="N42" s="9"/>
      <c r="O42" s="9"/>
      <c r="P42" s="9"/>
      <c r="Q42" s="9"/>
      <c r="R42" s="9"/>
      <c r="S42" s="9"/>
      <c r="T42" s="9"/>
      <c r="U42" s="9"/>
      <c r="AD42" s="10">
        <v>2006</v>
      </c>
      <c r="AE42" s="10">
        <v>12</v>
      </c>
    </row>
    <row r="43" spans="1:31" ht="16.5" customHeight="1" x14ac:dyDescent="0.35">
      <c r="A43" s="67" t="s">
        <v>3</v>
      </c>
      <c r="H43" s="203" t="s">
        <v>0</v>
      </c>
      <c r="I43" s="204"/>
      <c r="J43" s="205"/>
      <c r="L43" s="187"/>
      <c r="M43" s="9"/>
      <c r="AD43" s="10">
        <v>2007</v>
      </c>
      <c r="AE43" s="10">
        <v>12</v>
      </c>
    </row>
    <row r="44" spans="1:31" ht="16.5" customHeight="1" x14ac:dyDescent="0.35">
      <c r="A44" s="67" t="s">
        <v>80</v>
      </c>
      <c r="H44" s="203" t="s">
        <v>105</v>
      </c>
      <c r="I44"/>
      <c r="AD44" s="10">
        <v>2008</v>
      </c>
      <c r="AE44" s="10">
        <v>12</v>
      </c>
    </row>
    <row r="45" spans="1:31" ht="16.5" customHeight="1" x14ac:dyDescent="0.35">
      <c r="A45" s="67" t="s">
        <v>2</v>
      </c>
      <c r="H45"/>
      <c r="I45"/>
      <c r="AD45" s="10">
        <v>2009</v>
      </c>
      <c r="AE45" s="10">
        <v>14</v>
      </c>
    </row>
    <row r="46" spans="1:31" ht="16.5" customHeight="1" x14ac:dyDescent="0.35">
      <c r="A46" s="67" t="s">
        <v>1</v>
      </c>
      <c r="H46"/>
      <c r="I46"/>
      <c r="J46" s="31" t="s">
        <v>165</v>
      </c>
      <c r="AD46" s="10">
        <v>2010</v>
      </c>
      <c r="AE46" s="10">
        <v>14</v>
      </c>
    </row>
    <row r="47" spans="1:31" ht="16.5" customHeight="1" x14ac:dyDescent="0.35">
      <c r="H47"/>
      <c r="I47"/>
      <c r="AD47" s="10">
        <v>2011</v>
      </c>
      <c r="AE47" s="10">
        <v>14</v>
      </c>
    </row>
    <row r="48" spans="1:31" ht="16.5" customHeight="1" x14ac:dyDescent="0.3">
      <c r="J48" s="31"/>
      <c r="AD48" s="10">
        <v>2012</v>
      </c>
      <c r="AE48" s="10">
        <v>14</v>
      </c>
    </row>
    <row r="49" spans="8:31" ht="16.5" customHeight="1" x14ac:dyDescent="0.3">
      <c r="H49" s="206"/>
      <c r="AD49" s="10">
        <v>2013</v>
      </c>
      <c r="AE49" s="10">
        <v>14</v>
      </c>
    </row>
    <row r="50" spans="8:31" ht="16.5" customHeight="1" x14ac:dyDescent="0.3">
      <c r="H50" s="206"/>
      <c r="AD50" s="10">
        <v>2014</v>
      </c>
      <c r="AE50" s="10">
        <v>14.5</v>
      </c>
    </row>
    <row r="51" spans="8:31" ht="16.5" customHeight="1" x14ac:dyDescent="0.35">
      <c r="H51"/>
      <c r="AD51" s="10">
        <v>2015</v>
      </c>
      <c r="AE51" s="10">
        <v>14.5</v>
      </c>
    </row>
    <row r="52" spans="8:31" ht="16.5" customHeight="1" x14ac:dyDescent="0.3">
      <c r="AD52" s="10">
        <v>2016</v>
      </c>
      <c r="AE52" s="10">
        <v>15</v>
      </c>
    </row>
    <row r="53" spans="8:31" ht="16.5" customHeight="1" x14ac:dyDescent="0.35">
      <c r="I53"/>
      <c r="J53" s="15"/>
      <c r="AD53" s="10">
        <v>2017</v>
      </c>
      <c r="AE53" s="10">
        <v>15</v>
      </c>
    </row>
    <row r="54" spans="8:31" ht="16.5" customHeight="1" x14ac:dyDescent="0.3">
      <c r="AD54" s="10">
        <v>2018</v>
      </c>
      <c r="AE54" s="10">
        <v>15</v>
      </c>
    </row>
    <row r="55" spans="8:31" ht="16.5" customHeight="1" x14ac:dyDescent="0.3">
      <c r="J55" s="30"/>
      <c r="AD55" s="10">
        <v>2019</v>
      </c>
      <c r="AE55" s="10">
        <v>15</v>
      </c>
    </row>
    <row r="56" spans="8:31" ht="16.5" customHeight="1" x14ac:dyDescent="0.3">
      <c r="AD56" s="10">
        <v>2020</v>
      </c>
      <c r="AE56" s="10">
        <v>15</v>
      </c>
    </row>
    <row r="57" spans="8:31" ht="16.5" customHeight="1" x14ac:dyDescent="0.3">
      <c r="AD57" s="10">
        <v>2021</v>
      </c>
      <c r="AE57" s="10">
        <v>15</v>
      </c>
    </row>
    <row r="58" spans="8:31" ht="16.5" customHeight="1" x14ac:dyDescent="0.3">
      <c r="AD58" s="10">
        <v>2022</v>
      </c>
      <c r="AE58" s="10">
        <v>15</v>
      </c>
    </row>
    <row r="59" spans="8:31" ht="16.5" customHeight="1" x14ac:dyDescent="0.3">
      <c r="AD59" s="10">
        <v>2023</v>
      </c>
      <c r="AE59" s="10">
        <v>15.2</v>
      </c>
    </row>
    <row r="60" spans="8:31" ht="16.5" customHeight="1" x14ac:dyDescent="0.3">
      <c r="AD60" s="10">
        <v>2024</v>
      </c>
      <c r="AE60" s="10">
        <v>15.2</v>
      </c>
    </row>
    <row r="61" spans="8:31" ht="16.5" customHeight="1" x14ac:dyDescent="0.3">
      <c r="AD61" s="10">
        <v>2025</v>
      </c>
      <c r="AE61" s="10">
        <v>15.2</v>
      </c>
    </row>
    <row r="62" spans="8:31" ht="16.5" customHeight="1" x14ac:dyDescent="0.3">
      <c r="AD62" s="34">
        <v>2026</v>
      </c>
      <c r="AE62" s="34">
        <v>15.2</v>
      </c>
    </row>
  </sheetData>
  <sheetProtection selectLockedCells="1"/>
  <mergeCells count="44">
    <mergeCell ref="A38:G38"/>
    <mergeCell ref="H38:J38"/>
    <mergeCell ref="H41:J41"/>
    <mergeCell ref="H42:J42"/>
    <mergeCell ref="A31:G31"/>
    <mergeCell ref="H31:J31"/>
    <mergeCell ref="A33:G33"/>
    <mergeCell ref="A35:G35"/>
    <mergeCell ref="A36:G36"/>
    <mergeCell ref="H36:J36"/>
    <mergeCell ref="H22:J22"/>
    <mergeCell ref="A28:J28"/>
    <mergeCell ref="A29:G29"/>
    <mergeCell ref="H29:J29"/>
    <mergeCell ref="A30:G30"/>
    <mergeCell ref="H30:J30"/>
    <mergeCell ref="A20:G20"/>
    <mergeCell ref="H20:J20"/>
    <mergeCell ref="A9:G9"/>
    <mergeCell ref="H9:J9"/>
    <mergeCell ref="A12:G12"/>
    <mergeCell ref="I12:J12"/>
    <mergeCell ref="A14:G14"/>
    <mergeCell ref="H14:J14"/>
    <mergeCell ref="H15:J15"/>
    <mergeCell ref="A16:G16"/>
    <mergeCell ref="A18:G18"/>
    <mergeCell ref="H18:J18"/>
    <mergeCell ref="H19:J19"/>
    <mergeCell ref="A8:G8"/>
    <mergeCell ref="H8:J8"/>
    <mergeCell ref="A1:J1"/>
    <mergeCell ref="A2:J2"/>
    <mergeCell ref="A3:B3"/>
    <mergeCell ref="C3:G3"/>
    <mergeCell ref="H3:I3"/>
    <mergeCell ref="A4:B4"/>
    <mergeCell ref="C4:G4"/>
    <mergeCell ref="H4:J4"/>
    <mergeCell ref="A5:J5"/>
    <mergeCell ref="A6:G6"/>
    <mergeCell ref="H6:J6"/>
    <mergeCell ref="A7:G7"/>
    <mergeCell ref="H7:J7"/>
  </mergeCells>
  <dataValidations count="21">
    <dataValidation allowBlank="1" showInputMessage="1" showErrorMessage="1" promptTitle="Existing EER" prompt="Enter the EER as found on the plate of the existing unit.  If the EER cannot be found skip this entry and meter the unit._x000a_" sqref="IT65466 H65467:I65467" xr:uid="{745B18DE-5D94-445E-8353-E25AC18471EF}"/>
    <dataValidation allowBlank="1" showInputMessage="1" showErrorMessage="1" promptTitle="Existing BTUs" prompt="Enter the BTUs if it can be found on the unit.  If it cannot be found the assessor must estimate and take a photo of the unit.  Window units range from 5,000 to 24,000." sqref="IT65468 H65469:I65469" xr:uid="{1A77E138-6832-4C37-B2CC-1754D6126595}"/>
    <dataValidation allowBlank="1" showInputMessage="1" showErrorMessage="1" promptTitle="Existing Amps" prompt="Enter the amps found on the plate.  If the amps cannot be found enter the amps reading using a comsuption meter or amp meter." sqref="IT65470 H65471:I65471" xr:uid="{5D48651B-D61D-4BB4-A880-04CECCA1CD41}"/>
    <dataValidation allowBlank="1" showInputMessage="1" showErrorMessage="1" promptTitle="Existing Volts" prompt="Enter the amount of volts based on the outlet.  110 volts are used by regular outlets.  220 volts are used by larger ACs." sqref="IT65472 H65473:I65473" xr:uid="{05B5DD09-A867-4AF1-9546-433791140603}"/>
    <dataValidation allowBlank="1" showInputMessage="1" showErrorMessage="1" prompt="% EER increase using plate" sqref="IV65477" xr:uid="{0812E789-89F2-4B63-958E-C061CB740291}"/>
    <dataValidation allowBlank="1" showInputMessage="1" showErrorMessage="1" promptTitle="Replacement EER" prompt="Enter the EER found on the (Yellow) Energy Guide of the new replacement unit." sqref="IW65466" xr:uid="{1824E811-71BF-4BD4-9804-ABE2F972D697}"/>
    <dataValidation allowBlank="1" showInputMessage="1" showErrorMessage="1" prompt="% decrease using amps" sqref="IV65480" xr:uid="{BD734CF4-3336-474B-9143-3CFD01D9A386}"/>
    <dataValidation type="list" allowBlank="1" showInputMessage="1" showErrorMessage="1" promptTitle="Equipment Maintenance" prompt="Through discussion with the client, select the appropriate maintenance done on the piece of equipment being evaluated." sqref="H36:J36" xr:uid="{959727A3-A361-46BA-A33B-AD3DFAF982F2}">
      <formula1>"Select Equipment Maintenance Factor, Annual Professional Maintenance, Seldom or Never Maintained"</formula1>
    </dataValidation>
    <dataValidation allowBlank="1" showInputMessage="1" showErrorMessage="1" promptTitle="Heat Pump" prompt="Base efficiency for a heat pump is considered 100% unless determined otherwise with documented detail test results." sqref="I16:I17" xr:uid="{5EAE56BE-F104-41BD-97D6-FEAE34483B77}"/>
    <dataValidation allowBlank="1" showInputMessage="1" showErrorMessage="1" promptTitle="Existing SEER/EER" prompt="Enter the SEER or EER as found on the plate of the existing unit. If SEER/EER cannot be found on unit, refer to Table 3 to the right for approximate SEER/EER for unit._x000a_" sqref="I33" xr:uid="{43994C89-F9BB-4364-A8AB-4EFE1DB9D6B2}"/>
    <dataValidation allowBlank="1" showInputMessage="1" showErrorMessage="1" promptTitle="Degraded SEER/EER" prompt="This will auto-calculate the degraded SEER/EER of the existing unit. " sqref="H41:I42" xr:uid="{0A870608-5580-4970-9BE2-93A26C69760B}"/>
    <dataValidation type="whole" allowBlank="1" showInputMessage="1" showErrorMessage="1" promptTitle="Manufactured Year" prompt="Enter the manufactured year as found on the plate of the existing unit. The manufactured year is either identified individually, or in the serial number (typically within first 4 digits). If age cannot be determined, this calculation is not applicable.._x000a_" sqref="H31:I31" xr:uid="{3A87CE55-D8AF-42A3-89FD-443CB3DE1A51}">
      <formula1>0</formula1>
      <formula2>2099</formula2>
    </dataValidation>
    <dataValidation type="list" allowBlank="1" showInputMessage="1" showErrorMessage="1" promptTitle="Cooling Equipment" prompt="Select central cooling equipment type" sqref="H30:J30" xr:uid="{2088B685-5F44-414A-BE21-599FBC3171FE}">
      <formula1>"Select Cooling Equipment, Split System AC, Heat Pump, Evaporative Cooler"</formula1>
    </dataValidation>
    <dataValidation type="list" allowBlank="1" showInputMessage="1" showErrorMessage="1" promptTitle="Equipment Maintenance" prompt="Through discussion with the client, select the appropriate maintenance done on the piece of equipment being evaluated." sqref="H18:I18" xr:uid="{D6A30420-3518-4DBC-9278-97E9760D2E03}">
      <formula1>"Select Appropriate Maintenance Level, Annual Professional Maintenance, Seldom or Never Maintained"</formula1>
    </dataValidation>
    <dataValidation type="whole" allowBlank="1" showInputMessage="1" showErrorMessage="1" promptTitle="Manufactured Year" prompt="Enter the manufactured year as found on the plate of the existing unit. If the year cannot be determined, the age of this unit must be determined in another way; if age cannot be determined, this calculation is not applicable." sqref="H9:I9" xr:uid="{D3B83828-95C5-46F9-82BD-977AF800FE50}">
      <formula1>0</formula1>
      <formula2>2099</formula2>
    </dataValidation>
    <dataValidation allowBlank="1" showInputMessage="1" showErrorMessage="1" promptTitle="Gas Unit" prompt="Enter the AFUE/efficiency as found on the combustion analyzer test results during the assessment." sqref="H12" xr:uid="{8A86AA8B-8052-42F3-AF15-9FBDDBB8FB81}"/>
    <dataValidation allowBlank="1" showInputMessage="1" showErrorMessage="1" promptTitle="Electric Resistance Heat" prompt="Base efficiency for electric resistance heating is considered 100% unless determined otherwise with documented detail test results." sqref="H14:I14" xr:uid="{0E2995B6-DCEE-4032-ACCB-B4DE402A0250}"/>
    <dataValidation type="list" allowBlank="1" showInputMessage="1" showErrorMessage="1" promptTitle="Furnace Type" prompt="Select furnace type" sqref="H8:J8" xr:uid="{6F28B0CC-9A96-468C-ACBE-EE20574F1D0D}">
      <formula1>"Select Furnace Type, Gas Furnace, Electric Resistance Furnace, Heat Pump"</formula1>
    </dataValidation>
    <dataValidation type="whole" allowBlank="1" showInputMessage="1" showErrorMessage="1" promptTitle="Current Calendar Year" prompt="Enter the current calendar year as of the date of the assessment." sqref="J3" xr:uid="{5D72CA0B-7E21-4C95-BA71-0F3BE525E40B}">
      <formula1>0</formula1>
      <formula2>2099</formula2>
    </dataValidation>
    <dataValidation type="list" allowBlank="1" showInputMessage="1" showErrorMessage="1" promptTitle="Furnace Location" prompt="Select location of existing furnace" sqref="H6:J6" xr:uid="{E49FCCD8-BD85-4955-8BAA-1E575AEE0C35}">
      <formula1>"Select Furnace Location, Conditioned Space, Unconditioned Space"</formula1>
    </dataValidation>
    <dataValidation type="list" allowBlank="1" showInputMessage="1" showErrorMessage="1" promptTitle="Funding Source" prompt="The auditor must select the funding source that is being used to justify the replacement. Determine whether LIHEAP or DOE will ultimately pay for the replacement, and choose that source accordingly." sqref="H7:J7 H29:J29" xr:uid="{E9DECBC7-9265-4A9C-B71F-9AC46634F8B3}">
      <formula1>"Select Funding Source, DOE, LIHEAP"</formula1>
    </dataValidation>
  </dataValidations>
  <hyperlinks>
    <hyperlink ref="H43" r:id="rId1" xr:uid="{5E759F04-8EAB-4A49-A963-515425E053B2}"/>
    <hyperlink ref="A27" r:id="rId2" xr:uid="{1E6E4E67-5F2A-4675-9799-E7C7BF1F63CD}"/>
    <hyperlink ref="A31" r:id="rId3" display="Building Intelligence Center" xr:uid="{FBBBBE01-F841-4DCC-85C4-707A22E5C807}"/>
    <hyperlink ref="H44" r:id="rId4" xr:uid="{12EA6984-C4A1-48FE-AE62-8F530D87BBDD}"/>
  </hyperlinks>
  <pageMargins left="0.7" right="0.7" top="0.25" bottom="0.2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28F3-35C9-4952-9622-203492983140}">
  <dimension ref="A1:J63"/>
  <sheetViews>
    <sheetView showGridLines="0" zoomScaleNormal="100" workbookViewId="0">
      <selection activeCell="C7" sqref="C7:D7"/>
    </sheetView>
  </sheetViews>
  <sheetFormatPr defaultRowHeight="13" x14ac:dyDescent="0.3"/>
  <cols>
    <col min="1" max="1" width="42.7265625" style="7" customWidth="1"/>
    <col min="2" max="2" width="19.7265625" style="7" customWidth="1"/>
    <col min="3" max="3" width="5.7265625" style="7" customWidth="1"/>
    <col min="4" max="4" width="19.7265625" style="7" customWidth="1"/>
    <col min="5" max="5" width="4.7265625" style="7" customWidth="1"/>
    <col min="6" max="249" width="9.1796875" style="7"/>
    <col min="250" max="250" width="32.81640625" style="7" customWidth="1"/>
    <col min="251" max="251" width="12.81640625" style="7" customWidth="1"/>
    <col min="252" max="252" width="9.26953125" style="7" bestFit="1" customWidth="1"/>
    <col min="253" max="253" width="12.81640625" style="7" customWidth="1"/>
    <col min="254" max="254" width="17.26953125" style="7" customWidth="1"/>
    <col min="255" max="255" width="2.1796875" style="7" customWidth="1"/>
    <col min="256" max="256" width="9.1796875" style="7"/>
    <col min="257" max="257" width="42.7265625" style="7" customWidth="1"/>
    <col min="258" max="258" width="19.7265625" style="7" customWidth="1"/>
    <col min="259" max="259" width="5.7265625" style="7" customWidth="1"/>
    <col min="260" max="260" width="19.7265625" style="7" customWidth="1"/>
    <col min="261" max="261" width="4.7265625" style="7" customWidth="1"/>
    <col min="262" max="505" width="9.1796875" style="7"/>
    <col min="506" max="506" width="32.81640625" style="7" customWidth="1"/>
    <col min="507" max="507" width="12.81640625" style="7" customWidth="1"/>
    <col min="508" max="508" width="9.26953125" style="7" bestFit="1" customWidth="1"/>
    <col min="509" max="509" width="12.81640625" style="7" customWidth="1"/>
    <col min="510" max="510" width="17.26953125" style="7" customWidth="1"/>
    <col min="511" max="511" width="2.1796875" style="7" customWidth="1"/>
    <col min="512" max="512" width="9.1796875" style="7"/>
    <col min="513" max="513" width="42.7265625" style="7" customWidth="1"/>
    <col min="514" max="514" width="19.7265625" style="7" customWidth="1"/>
    <col min="515" max="515" width="5.7265625" style="7" customWidth="1"/>
    <col min="516" max="516" width="19.7265625" style="7" customWidth="1"/>
    <col min="517" max="517" width="4.7265625" style="7" customWidth="1"/>
    <col min="518" max="761" width="9.1796875" style="7"/>
    <col min="762" max="762" width="32.81640625" style="7" customWidth="1"/>
    <col min="763" max="763" width="12.81640625" style="7" customWidth="1"/>
    <col min="764" max="764" width="9.26953125" style="7" bestFit="1" customWidth="1"/>
    <col min="765" max="765" width="12.81640625" style="7" customWidth="1"/>
    <col min="766" max="766" width="17.26953125" style="7" customWidth="1"/>
    <col min="767" max="767" width="2.1796875" style="7" customWidth="1"/>
    <col min="768" max="768" width="9.1796875" style="7"/>
    <col min="769" max="769" width="42.7265625" style="7" customWidth="1"/>
    <col min="770" max="770" width="19.7265625" style="7" customWidth="1"/>
    <col min="771" max="771" width="5.7265625" style="7" customWidth="1"/>
    <col min="772" max="772" width="19.7265625" style="7" customWidth="1"/>
    <col min="773" max="773" width="4.7265625" style="7" customWidth="1"/>
    <col min="774" max="1017" width="9.1796875" style="7"/>
    <col min="1018" max="1018" width="32.81640625" style="7" customWidth="1"/>
    <col min="1019" max="1019" width="12.81640625" style="7" customWidth="1"/>
    <col min="1020" max="1020" width="9.26953125" style="7" bestFit="1" customWidth="1"/>
    <col min="1021" max="1021" width="12.81640625" style="7" customWidth="1"/>
    <col min="1022" max="1022" width="17.26953125" style="7" customWidth="1"/>
    <col min="1023" max="1023" width="2.1796875" style="7" customWidth="1"/>
    <col min="1024" max="1024" width="9.1796875" style="7"/>
    <col min="1025" max="1025" width="42.7265625" style="7" customWidth="1"/>
    <col min="1026" max="1026" width="19.7265625" style="7" customWidth="1"/>
    <col min="1027" max="1027" width="5.7265625" style="7" customWidth="1"/>
    <col min="1028" max="1028" width="19.7265625" style="7" customWidth="1"/>
    <col min="1029" max="1029" width="4.7265625" style="7" customWidth="1"/>
    <col min="1030" max="1273" width="9.1796875" style="7"/>
    <col min="1274" max="1274" width="32.81640625" style="7" customWidth="1"/>
    <col min="1275" max="1275" width="12.81640625" style="7" customWidth="1"/>
    <col min="1276" max="1276" width="9.26953125" style="7" bestFit="1" customWidth="1"/>
    <col min="1277" max="1277" width="12.81640625" style="7" customWidth="1"/>
    <col min="1278" max="1278" width="17.26953125" style="7" customWidth="1"/>
    <col min="1279" max="1279" width="2.1796875" style="7" customWidth="1"/>
    <col min="1280" max="1280" width="9.1796875" style="7"/>
    <col min="1281" max="1281" width="42.7265625" style="7" customWidth="1"/>
    <col min="1282" max="1282" width="19.7265625" style="7" customWidth="1"/>
    <col min="1283" max="1283" width="5.7265625" style="7" customWidth="1"/>
    <col min="1284" max="1284" width="19.7265625" style="7" customWidth="1"/>
    <col min="1285" max="1285" width="4.7265625" style="7" customWidth="1"/>
    <col min="1286" max="1529" width="9.1796875" style="7"/>
    <col min="1530" max="1530" width="32.81640625" style="7" customWidth="1"/>
    <col min="1531" max="1531" width="12.81640625" style="7" customWidth="1"/>
    <col min="1532" max="1532" width="9.26953125" style="7" bestFit="1" customWidth="1"/>
    <col min="1533" max="1533" width="12.81640625" style="7" customWidth="1"/>
    <col min="1534" max="1534" width="17.26953125" style="7" customWidth="1"/>
    <col min="1535" max="1535" width="2.1796875" style="7" customWidth="1"/>
    <col min="1536" max="1536" width="9.1796875" style="7"/>
    <col min="1537" max="1537" width="42.7265625" style="7" customWidth="1"/>
    <col min="1538" max="1538" width="19.7265625" style="7" customWidth="1"/>
    <col min="1539" max="1539" width="5.7265625" style="7" customWidth="1"/>
    <col min="1540" max="1540" width="19.7265625" style="7" customWidth="1"/>
    <col min="1541" max="1541" width="4.7265625" style="7" customWidth="1"/>
    <col min="1542" max="1785" width="9.1796875" style="7"/>
    <col min="1786" max="1786" width="32.81640625" style="7" customWidth="1"/>
    <col min="1787" max="1787" width="12.81640625" style="7" customWidth="1"/>
    <col min="1788" max="1788" width="9.26953125" style="7" bestFit="1" customWidth="1"/>
    <col min="1789" max="1789" width="12.81640625" style="7" customWidth="1"/>
    <col min="1790" max="1790" width="17.26953125" style="7" customWidth="1"/>
    <col min="1791" max="1791" width="2.1796875" style="7" customWidth="1"/>
    <col min="1792" max="1792" width="9.1796875" style="7"/>
    <col min="1793" max="1793" width="42.7265625" style="7" customWidth="1"/>
    <col min="1794" max="1794" width="19.7265625" style="7" customWidth="1"/>
    <col min="1795" max="1795" width="5.7265625" style="7" customWidth="1"/>
    <col min="1796" max="1796" width="19.7265625" style="7" customWidth="1"/>
    <col min="1797" max="1797" width="4.7265625" style="7" customWidth="1"/>
    <col min="1798" max="2041" width="9.1796875" style="7"/>
    <col min="2042" max="2042" width="32.81640625" style="7" customWidth="1"/>
    <col min="2043" max="2043" width="12.81640625" style="7" customWidth="1"/>
    <col min="2044" max="2044" width="9.26953125" style="7" bestFit="1" customWidth="1"/>
    <col min="2045" max="2045" width="12.81640625" style="7" customWidth="1"/>
    <col min="2046" max="2046" width="17.26953125" style="7" customWidth="1"/>
    <col min="2047" max="2047" width="2.1796875" style="7" customWidth="1"/>
    <col min="2048" max="2048" width="9.1796875" style="7"/>
    <col min="2049" max="2049" width="42.7265625" style="7" customWidth="1"/>
    <col min="2050" max="2050" width="19.7265625" style="7" customWidth="1"/>
    <col min="2051" max="2051" width="5.7265625" style="7" customWidth="1"/>
    <col min="2052" max="2052" width="19.7265625" style="7" customWidth="1"/>
    <col min="2053" max="2053" width="4.7265625" style="7" customWidth="1"/>
    <col min="2054" max="2297" width="9.1796875" style="7"/>
    <col min="2298" max="2298" width="32.81640625" style="7" customWidth="1"/>
    <col min="2299" max="2299" width="12.81640625" style="7" customWidth="1"/>
    <col min="2300" max="2300" width="9.26953125" style="7" bestFit="1" customWidth="1"/>
    <col min="2301" max="2301" width="12.81640625" style="7" customWidth="1"/>
    <col min="2302" max="2302" width="17.26953125" style="7" customWidth="1"/>
    <col min="2303" max="2303" width="2.1796875" style="7" customWidth="1"/>
    <col min="2304" max="2304" width="9.1796875" style="7"/>
    <col min="2305" max="2305" width="42.7265625" style="7" customWidth="1"/>
    <col min="2306" max="2306" width="19.7265625" style="7" customWidth="1"/>
    <col min="2307" max="2307" width="5.7265625" style="7" customWidth="1"/>
    <col min="2308" max="2308" width="19.7265625" style="7" customWidth="1"/>
    <col min="2309" max="2309" width="4.7265625" style="7" customWidth="1"/>
    <col min="2310" max="2553" width="9.1796875" style="7"/>
    <col min="2554" max="2554" width="32.81640625" style="7" customWidth="1"/>
    <col min="2555" max="2555" width="12.81640625" style="7" customWidth="1"/>
    <col min="2556" max="2556" width="9.26953125" style="7" bestFit="1" customWidth="1"/>
    <col min="2557" max="2557" width="12.81640625" style="7" customWidth="1"/>
    <col min="2558" max="2558" width="17.26953125" style="7" customWidth="1"/>
    <col min="2559" max="2559" width="2.1796875" style="7" customWidth="1"/>
    <col min="2560" max="2560" width="9.1796875" style="7"/>
    <col min="2561" max="2561" width="42.7265625" style="7" customWidth="1"/>
    <col min="2562" max="2562" width="19.7265625" style="7" customWidth="1"/>
    <col min="2563" max="2563" width="5.7265625" style="7" customWidth="1"/>
    <col min="2564" max="2564" width="19.7265625" style="7" customWidth="1"/>
    <col min="2565" max="2565" width="4.7265625" style="7" customWidth="1"/>
    <col min="2566" max="2809" width="9.1796875" style="7"/>
    <col min="2810" max="2810" width="32.81640625" style="7" customWidth="1"/>
    <col min="2811" max="2811" width="12.81640625" style="7" customWidth="1"/>
    <col min="2812" max="2812" width="9.26953125" style="7" bestFit="1" customWidth="1"/>
    <col min="2813" max="2813" width="12.81640625" style="7" customWidth="1"/>
    <col min="2814" max="2814" width="17.26953125" style="7" customWidth="1"/>
    <col min="2815" max="2815" width="2.1796875" style="7" customWidth="1"/>
    <col min="2816" max="2816" width="9.1796875" style="7"/>
    <col min="2817" max="2817" width="42.7265625" style="7" customWidth="1"/>
    <col min="2818" max="2818" width="19.7265625" style="7" customWidth="1"/>
    <col min="2819" max="2819" width="5.7265625" style="7" customWidth="1"/>
    <col min="2820" max="2820" width="19.7265625" style="7" customWidth="1"/>
    <col min="2821" max="2821" width="4.7265625" style="7" customWidth="1"/>
    <col min="2822" max="3065" width="9.1796875" style="7"/>
    <col min="3066" max="3066" width="32.81640625" style="7" customWidth="1"/>
    <col min="3067" max="3067" width="12.81640625" style="7" customWidth="1"/>
    <col min="3068" max="3068" width="9.26953125" style="7" bestFit="1" customWidth="1"/>
    <col min="3069" max="3069" width="12.81640625" style="7" customWidth="1"/>
    <col min="3070" max="3070" width="17.26953125" style="7" customWidth="1"/>
    <col min="3071" max="3071" width="2.1796875" style="7" customWidth="1"/>
    <col min="3072" max="3072" width="9.1796875" style="7"/>
    <col min="3073" max="3073" width="42.7265625" style="7" customWidth="1"/>
    <col min="3074" max="3074" width="19.7265625" style="7" customWidth="1"/>
    <col min="3075" max="3075" width="5.7265625" style="7" customWidth="1"/>
    <col min="3076" max="3076" width="19.7265625" style="7" customWidth="1"/>
    <col min="3077" max="3077" width="4.7265625" style="7" customWidth="1"/>
    <col min="3078" max="3321" width="9.1796875" style="7"/>
    <col min="3322" max="3322" width="32.81640625" style="7" customWidth="1"/>
    <col min="3323" max="3323" width="12.81640625" style="7" customWidth="1"/>
    <col min="3324" max="3324" width="9.26953125" style="7" bestFit="1" customWidth="1"/>
    <col min="3325" max="3325" width="12.81640625" style="7" customWidth="1"/>
    <col min="3326" max="3326" width="17.26953125" style="7" customWidth="1"/>
    <col min="3327" max="3327" width="2.1796875" style="7" customWidth="1"/>
    <col min="3328" max="3328" width="9.1796875" style="7"/>
    <col min="3329" max="3329" width="42.7265625" style="7" customWidth="1"/>
    <col min="3330" max="3330" width="19.7265625" style="7" customWidth="1"/>
    <col min="3331" max="3331" width="5.7265625" style="7" customWidth="1"/>
    <col min="3332" max="3332" width="19.7265625" style="7" customWidth="1"/>
    <col min="3333" max="3333" width="4.7265625" style="7" customWidth="1"/>
    <col min="3334" max="3577" width="9.1796875" style="7"/>
    <col min="3578" max="3578" width="32.81640625" style="7" customWidth="1"/>
    <col min="3579" max="3579" width="12.81640625" style="7" customWidth="1"/>
    <col min="3580" max="3580" width="9.26953125" style="7" bestFit="1" customWidth="1"/>
    <col min="3581" max="3581" width="12.81640625" style="7" customWidth="1"/>
    <col min="3582" max="3582" width="17.26953125" style="7" customWidth="1"/>
    <col min="3583" max="3583" width="2.1796875" style="7" customWidth="1"/>
    <col min="3584" max="3584" width="9.1796875" style="7"/>
    <col min="3585" max="3585" width="42.7265625" style="7" customWidth="1"/>
    <col min="3586" max="3586" width="19.7265625" style="7" customWidth="1"/>
    <col min="3587" max="3587" width="5.7265625" style="7" customWidth="1"/>
    <col min="3588" max="3588" width="19.7265625" style="7" customWidth="1"/>
    <col min="3589" max="3589" width="4.7265625" style="7" customWidth="1"/>
    <col min="3590" max="3833" width="9.1796875" style="7"/>
    <col min="3834" max="3834" width="32.81640625" style="7" customWidth="1"/>
    <col min="3835" max="3835" width="12.81640625" style="7" customWidth="1"/>
    <col min="3836" max="3836" width="9.26953125" style="7" bestFit="1" customWidth="1"/>
    <col min="3837" max="3837" width="12.81640625" style="7" customWidth="1"/>
    <col min="3838" max="3838" width="17.26953125" style="7" customWidth="1"/>
    <col min="3839" max="3839" width="2.1796875" style="7" customWidth="1"/>
    <col min="3840" max="3840" width="9.1796875" style="7"/>
    <col min="3841" max="3841" width="42.7265625" style="7" customWidth="1"/>
    <col min="3842" max="3842" width="19.7265625" style="7" customWidth="1"/>
    <col min="3843" max="3843" width="5.7265625" style="7" customWidth="1"/>
    <col min="3844" max="3844" width="19.7265625" style="7" customWidth="1"/>
    <col min="3845" max="3845" width="4.7265625" style="7" customWidth="1"/>
    <col min="3846" max="4089" width="9.1796875" style="7"/>
    <col min="4090" max="4090" width="32.81640625" style="7" customWidth="1"/>
    <col min="4091" max="4091" width="12.81640625" style="7" customWidth="1"/>
    <col min="4092" max="4092" width="9.26953125" style="7" bestFit="1" customWidth="1"/>
    <col min="4093" max="4093" width="12.81640625" style="7" customWidth="1"/>
    <col min="4094" max="4094" width="17.26953125" style="7" customWidth="1"/>
    <col min="4095" max="4095" width="2.1796875" style="7" customWidth="1"/>
    <col min="4096" max="4096" width="9.1796875" style="7"/>
    <col min="4097" max="4097" width="42.7265625" style="7" customWidth="1"/>
    <col min="4098" max="4098" width="19.7265625" style="7" customWidth="1"/>
    <col min="4099" max="4099" width="5.7265625" style="7" customWidth="1"/>
    <col min="4100" max="4100" width="19.7265625" style="7" customWidth="1"/>
    <col min="4101" max="4101" width="4.7265625" style="7" customWidth="1"/>
    <col min="4102" max="4345" width="9.1796875" style="7"/>
    <col min="4346" max="4346" width="32.81640625" style="7" customWidth="1"/>
    <col min="4347" max="4347" width="12.81640625" style="7" customWidth="1"/>
    <col min="4348" max="4348" width="9.26953125" style="7" bestFit="1" customWidth="1"/>
    <col min="4349" max="4349" width="12.81640625" style="7" customWidth="1"/>
    <col min="4350" max="4350" width="17.26953125" style="7" customWidth="1"/>
    <col min="4351" max="4351" width="2.1796875" style="7" customWidth="1"/>
    <col min="4352" max="4352" width="9.1796875" style="7"/>
    <col min="4353" max="4353" width="42.7265625" style="7" customWidth="1"/>
    <col min="4354" max="4354" width="19.7265625" style="7" customWidth="1"/>
    <col min="4355" max="4355" width="5.7265625" style="7" customWidth="1"/>
    <col min="4356" max="4356" width="19.7265625" style="7" customWidth="1"/>
    <col min="4357" max="4357" width="4.7265625" style="7" customWidth="1"/>
    <col min="4358" max="4601" width="9.1796875" style="7"/>
    <col min="4602" max="4602" width="32.81640625" style="7" customWidth="1"/>
    <col min="4603" max="4603" width="12.81640625" style="7" customWidth="1"/>
    <col min="4604" max="4604" width="9.26953125" style="7" bestFit="1" customWidth="1"/>
    <col min="4605" max="4605" width="12.81640625" style="7" customWidth="1"/>
    <col min="4606" max="4606" width="17.26953125" style="7" customWidth="1"/>
    <col min="4607" max="4607" width="2.1796875" style="7" customWidth="1"/>
    <col min="4608" max="4608" width="9.1796875" style="7"/>
    <col min="4609" max="4609" width="42.7265625" style="7" customWidth="1"/>
    <col min="4610" max="4610" width="19.7265625" style="7" customWidth="1"/>
    <col min="4611" max="4611" width="5.7265625" style="7" customWidth="1"/>
    <col min="4612" max="4612" width="19.7265625" style="7" customWidth="1"/>
    <col min="4613" max="4613" width="4.7265625" style="7" customWidth="1"/>
    <col min="4614" max="4857" width="9.1796875" style="7"/>
    <col min="4858" max="4858" width="32.81640625" style="7" customWidth="1"/>
    <col min="4859" max="4859" width="12.81640625" style="7" customWidth="1"/>
    <col min="4860" max="4860" width="9.26953125" style="7" bestFit="1" customWidth="1"/>
    <col min="4861" max="4861" width="12.81640625" style="7" customWidth="1"/>
    <col min="4862" max="4862" width="17.26953125" style="7" customWidth="1"/>
    <col min="4863" max="4863" width="2.1796875" style="7" customWidth="1"/>
    <col min="4864" max="4864" width="9.1796875" style="7"/>
    <col min="4865" max="4865" width="42.7265625" style="7" customWidth="1"/>
    <col min="4866" max="4866" width="19.7265625" style="7" customWidth="1"/>
    <col min="4867" max="4867" width="5.7265625" style="7" customWidth="1"/>
    <col min="4868" max="4868" width="19.7265625" style="7" customWidth="1"/>
    <col min="4869" max="4869" width="4.7265625" style="7" customWidth="1"/>
    <col min="4870" max="5113" width="9.1796875" style="7"/>
    <col min="5114" max="5114" width="32.81640625" style="7" customWidth="1"/>
    <col min="5115" max="5115" width="12.81640625" style="7" customWidth="1"/>
    <col min="5116" max="5116" width="9.26953125" style="7" bestFit="1" customWidth="1"/>
    <col min="5117" max="5117" width="12.81640625" style="7" customWidth="1"/>
    <col min="5118" max="5118" width="17.26953125" style="7" customWidth="1"/>
    <col min="5119" max="5119" width="2.1796875" style="7" customWidth="1"/>
    <col min="5120" max="5120" width="9.1796875" style="7"/>
    <col min="5121" max="5121" width="42.7265625" style="7" customWidth="1"/>
    <col min="5122" max="5122" width="19.7265625" style="7" customWidth="1"/>
    <col min="5123" max="5123" width="5.7265625" style="7" customWidth="1"/>
    <col min="5124" max="5124" width="19.7265625" style="7" customWidth="1"/>
    <col min="5125" max="5125" width="4.7265625" style="7" customWidth="1"/>
    <col min="5126" max="5369" width="9.1796875" style="7"/>
    <col min="5370" max="5370" width="32.81640625" style="7" customWidth="1"/>
    <col min="5371" max="5371" width="12.81640625" style="7" customWidth="1"/>
    <col min="5372" max="5372" width="9.26953125" style="7" bestFit="1" customWidth="1"/>
    <col min="5373" max="5373" width="12.81640625" style="7" customWidth="1"/>
    <col min="5374" max="5374" width="17.26953125" style="7" customWidth="1"/>
    <col min="5375" max="5375" width="2.1796875" style="7" customWidth="1"/>
    <col min="5376" max="5376" width="9.1796875" style="7"/>
    <col min="5377" max="5377" width="42.7265625" style="7" customWidth="1"/>
    <col min="5378" max="5378" width="19.7265625" style="7" customWidth="1"/>
    <col min="5379" max="5379" width="5.7265625" style="7" customWidth="1"/>
    <col min="5380" max="5380" width="19.7265625" style="7" customWidth="1"/>
    <col min="5381" max="5381" width="4.7265625" style="7" customWidth="1"/>
    <col min="5382" max="5625" width="9.1796875" style="7"/>
    <col min="5626" max="5626" width="32.81640625" style="7" customWidth="1"/>
    <col min="5627" max="5627" width="12.81640625" style="7" customWidth="1"/>
    <col min="5628" max="5628" width="9.26953125" style="7" bestFit="1" customWidth="1"/>
    <col min="5629" max="5629" width="12.81640625" style="7" customWidth="1"/>
    <col min="5630" max="5630" width="17.26953125" style="7" customWidth="1"/>
    <col min="5631" max="5631" width="2.1796875" style="7" customWidth="1"/>
    <col min="5632" max="5632" width="9.1796875" style="7"/>
    <col min="5633" max="5633" width="42.7265625" style="7" customWidth="1"/>
    <col min="5634" max="5634" width="19.7265625" style="7" customWidth="1"/>
    <col min="5635" max="5635" width="5.7265625" style="7" customWidth="1"/>
    <col min="5636" max="5636" width="19.7265625" style="7" customWidth="1"/>
    <col min="5637" max="5637" width="4.7265625" style="7" customWidth="1"/>
    <col min="5638" max="5881" width="9.1796875" style="7"/>
    <col min="5882" max="5882" width="32.81640625" style="7" customWidth="1"/>
    <col min="5883" max="5883" width="12.81640625" style="7" customWidth="1"/>
    <col min="5884" max="5884" width="9.26953125" style="7" bestFit="1" customWidth="1"/>
    <col min="5885" max="5885" width="12.81640625" style="7" customWidth="1"/>
    <col min="5886" max="5886" width="17.26953125" style="7" customWidth="1"/>
    <col min="5887" max="5887" width="2.1796875" style="7" customWidth="1"/>
    <col min="5888" max="5888" width="9.1796875" style="7"/>
    <col min="5889" max="5889" width="42.7265625" style="7" customWidth="1"/>
    <col min="5890" max="5890" width="19.7265625" style="7" customWidth="1"/>
    <col min="5891" max="5891" width="5.7265625" style="7" customWidth="1"/>
    <col min="5892" max="5892" width="19.7265625" style="7" customWidth="1"/>
    <col min="5893" max="5893" width="4.7265625" style="7" customWidth="1"/>
    <col min="5894" max="6137" width="9.1796875" style="7"/>
    <col min="6138" max="6138" width="32.81640625" style="7" customWidth="1"/>
    <col min="6139" max="6139" width="12.81640625" style="7" customWidth="1"/>
    <col min="6140" max="6140" width="9.26953125" style="7" bestFit="1" customWidth="1"/>
    <col min="6141" max="6141" width="12.81640625" style="7" customWidth="1"/>
    <col min="6142" max="6142" width="17.26953125" style="7" customWidth="1"/>
    <col min="6143" max="6143" width="2.1796875" style="7" customWidth="1"/>
    <col min="6144" max="6144" width="9.1796875" style="7"/>
    <col min="6145" max="6145" width="42.7265625" style="7" customWidth="1"/>
    <col min="6146" max="6146" width="19.7265625" style="7" customWidth="1"/>
    <col min="6147" max="6147" width="5.7265625" style="7" customWidth="1"/>
    <col min="6148" max="6148" width="19.7265625" style="7" customWidth="1"/>
    <col min="6149" max="6149" width="4.7265625" style="7" customWidth="1"/>
    <col min="6150" max="6393" width="9.1796875" style="7"/>
    <col min="6394" max="6394" width="32.81640625" style="7" customWidth="1"/>
    <col min="6395" max="6395" width="12.81640625" style="7" customWidth="1"/>
    <col min="6396" max="6396" width="9.26953125" style="7" bestFit="1" customWidth="1"/>
    <col min="6397" max="6397" width="12.81640625" style="7" customWidth="1"/>
    <col min="6398" max="6398" width="17.26953125" style="7" customWidth="1"/>
    <col min="6399" max="6399" width="2.1796875" style="7" customWidth="1"/>
    <col min="6400" max="6400" width="9.1796875" style="7"/>
    <col min="6401" max="6401" width="42.7265625" style="7" customWidth="1"/>
    <col min="6402" max="6402" width="19.7265625" style="7" customWidth="1"/>
    <col min="6403" max="6403" width="5.7265625" style="7" customWidth="1"/>
    <col min="6404" max="6404" width="19.7265625" style="7" customWidth="1"/>
    <col min="6405" max="6405" width="4.7265625" style="7" customWidth="1"/>
    <col min="6406" max="6649" width="9.1796875" style="7"/>
    <col min="6650" max="6650" width="32.81640625" style="7" customWidth="1"/>
    <col min="6651" max="6651" width="12.81640625" style="7" customWidth="1"/>
    <col min="6652" max="6652" width="9.26953125" style="7" bestFit="1" customWidth="1"/>
    <col min="6653" max="6653" width="12.81640625" style="7" customWidth="1"/>
    <col min="6654" max="6654" width="17.26953125" style="7" customWidth="1"/>
    <col min="6655" max="6655" width="2.1796875" style="7" customWidth="1"/>
    <col min="6656" max="6656" width="9.1796875" style="7"/>
    <col min="6657" max="6657" width="42.7265625" style="7" customWidth="1"/>
    <col min="6658" max="6658" width="19.7265625" style="7" customWidth="1"/>
    <col min="6659" max="6659" width="5.7265625" style="7" customWidth="1"/>
    <col min="6660" max="6660" width="19.7265625" style="7" customWidth="1"/>
    <col min="6661" max="6661" width="4.7265625" style="7" customWidth="1"/>
    <col min="6662" max="6905" width="9.1796875" style="7"/>
    <col min="6906" max="6906" width="32.81640625" style="7" customWidth="1"/>
    <col min="6907" max="6907" width="12.81640625" style="7" customWidth="1"/>
    <col min="6908" max="6908" width="9.26953125" style="7" bestFit="1" customWidth="1"/>
    <col min="6909" max="6909" width="12.81640625" style="7" customWidth="1"/>
    <col min="6910" max="6910" width="17.26953125" style="7" customWidth="1"/>
    <col min="6911" max="6911" width="2.1796875" style="7" customWidth="1"/>
    <col min="6912" max="6912" width="9.1796875" style="7"/>
    <col min="6913" max="6913" width="42.7265625" style="7" customWidth="1"/>
    <col min="6914" max="6914" width="19.7265625" style="7" customWidth="1"/>
    <col min="6915" max="6915" width="5.7265625" style="7" customWidth="1"/>
    <col min="6916" max="6916" width="19.7265625" style="7" customWidth="1"/>
    <col min="6917" max="6917" width="4.7265625" style="7" customWidth="1"/>
    <col min="6918" max="7161" width="9.1796875" style="7"/>
    <col min="7162" max="7162" width="32.81640625" style="7" customWidth="1"/>
    <col min="7163" max="7163" width="12.81640625" style="7" customWidth="1"/>
    <col min="7164" max="7164" width="9.26953125" style="7" bestFit="1" customWidth="1"/>
    <col min="7165" max="7165" width="12.81640625" style="7" customWidth="1"/>
    <col min="7166" max="7166" width="17.26953125" style="7" customWidth="1"/>
    <col min="7167" max="7167" width="2.1796875" style="7" customWidth="1"/>
    <col min="7168" max="7168" width="9.1796875" style="7"/>
    <col min="7169" max="7169" width="42.7265625" style="7" customWidth="1"/>
    <col min="7170" max="7170" width="19.7265625" style="7" customWidth="1"/>
    <col min="7171" max="7171" width="5.7265625" style="7" customWidth="1"/>
    <col min="7172" max="7172" width="19.7265625" style="7" customWidth="1"/>
    <col min="7173" max="7173" width="4.7265625" style="7" customWidth="1"/>
    <col min="7174" max="7417" width="9.1796875" style="7"/>
    <col min="7418" max="7418" width="32.81640625" style="7" customWidth="1"/>
    <col min="7419" max="7419" width="12.81640625" style="7" customWidth="1"/>
    <col min="7420" max="7420" width="9.26953125" style="7" bestFit="1" customWidth="1"/>
    <col min="7421" max="7421" width="12.81640625" style="7" customWidth="1"/>
    <col min="7422" max="7422" width="17.26953125" style="7" customWidth="1"/>
    <col min="7423" max="7423" width="2.1796875" style="7" customWidth="1"/>
    <col min="7424" max="7424" width="9.1796875" style="7"/>
    <col min="7425" max="7425" width="42.7265625" style="7" customWidth="1"/>
    <col min="7426" max="7426" width="19.7265625" style="7" customWidth="1"/>
    <col min="7427" max="7427" width="5.7265625" style="7" customWidth="1"/>
    <col min="7428" max="7428" width="19.7265625" style="7" customWidth="1"/>
    <col min="7429" max="7429" width="4.7265625" style="7" customWidth="1"/>
    <col min="7430" max="7673" width="9.1796875" style="7"/>
    <col min="7674" max="7674" width="32.81640625" style="7" customWidth="1"/>
    <col min="7675" max="7675" width="12.81640625" style="7" customWidth="1"/>
    <col min="7676" max="7676" width="9.26953125" style="7" bestFit="1" customWidth="1"/>
    <col min="7677" max="7677" width="12.81640625" style="7" customWidth="1"/>
    <col min="7678" max="7678" width="17.26953125" style="7" customWidth="1"/>
    <col min="7679" max="7679" width="2.1796875" style="7" customWidth="1"/>
    <col min="7680" max="7680" width="9.1796875" style="7"/>
    <col min="7681" max="7681" width="42.7265625" style="7" customWidth="1"/>
    <col min="7682" max="7682" width="19.7265625" style="7" customWidth="1"/>
    <col min="7683" max="7683" width="5.7265625" style="7" customWidth="1"/>
    <col min="7684" max="7684" width="19.7265625" style="7" customWidth="1"/>
    <col min="7685" max="7685" width="4.7265625" style="7" customWidth="1"/>
    <col min="7686" max="7929" width="9.1796875" style="7"/>
    <col min="7930" max="7930" width="32.81640625" style="7" customWidth="1"/>
    <col min="7931" max="7931" width="12.81640625" style="7" customWidth="1"/>
    <col min="7932" max="7932" width="9.26953125" style="7" bestFit="1" customWidth="1"/>
    <col min="7933" max="7933" width="12.81640625" style="7" customWidth="1"/>
    <col min="7934" max="7934" width="17.26953125" style="7" customWidth="1"/>
    <col min="7935" max="7935" width="2.1796875" style="7" customWidth="1"/>
    <col min="7936" max="7936" width="9.1796875" style="7"/>
    <col min="7937" max="7937" width="42.7265625" style="7" customWidth="1"/>
    <col min="7938" max="7938" width="19.7265625" style="7" customWidth="1"/>
    <col min="7939" max="7939" width="5.7265625" style="7" customWidth="1"/>
    <col min="7940" max="7940" width="19.7265625" style="7" customWidth="1"/>
    <col min="7941" max="7941" width="4.7265625" style="7" customWidth="1"/>
    <col min="7942" max="8185" width="9.1796875" style="7"/>
    <col min="8186" max="8186" width="32.81640625" style="7" customWidth="1"/>
    <col min="8187" max="8187" width="12.81640625" style="7" customWidth="1"/>
    <col min="8188" max="8188" width="9.26953125" style="7" bestFit="1" customWidth="1"/>
    <col min="8189" max="8189" width="12.81640625" style="7" customWidth="1"/>
    <col min="8190" max="8190" width="17.26953125" style="7" customWidth="1"/>
    <col min="8191" max="8191" width="2.1796875" style="7" customWidth="1"/>
    <col min="8192" max="8192" width="9.1796875" style="7"/>
    <col min="8193" max="8193" width="42.7265625" style="7" customWidth="1"/>
    <col min="8194" max="8194" width="19.7265625" style="7" customWidth="1"/>
    <col min="8195" max="8195" width="5.7265625" style="7" customWidth="1"/>
    <col min="8196" max="8196" width="19.7265625" style="7" customWidth="1"/>
    <col min="8197" max="8197" width="4.7265625" style="7" customWidth="1"/>
    <col min="8198" max="8441" width="9.1796875" style="7"/>
    <col min="8442" max="8442" width="32.81640625" style="7" customWidth="1"/>
    <col min="8443" max="8443" width="12.81640625" style="7" customWidth="1"/>
    <col min="8444" max="8444" width="9.26953125" style="7" bestFit="1" customWidth="1"/>
    <col min="8445" max="8445" width="12.81640625" style="7" customWidth="1"/>
    <col min="8446" max="8446" width="17.26953125" style="7" customWidth="1"/>
    <col min="8447" max="8447" width="2.1796875" style="7" customWidth="1"/>
    <col min="8448" max="8448" width="9.1796875" style="7"/>
    <col min="8449" max="8449" width="42.7265625" style="7" customWidth="1"/>
    <col min="8450" max="8450" width="19.7265625" style="7" customWidth="1"/>
    <col min="8451" max="8451" width="5.7265625" style="7" customWidth="1"/>
    <col min="8452" max="8452" width="19.7265625" style="7" customWidth="1"/>
    <col min="8453" max="8453" width="4.7265625" style="7" customWidth="1"/>
    <col min="8454" max="8697" width="9.1796875" style="7"/>
    <col min="8698" max="8698" width="32.81640625" style="7" customWidth="1"/>
    <col min="8699" max="8699" width="12.81640625" style="7" customWidth="1"/>
    <col min="8700" max="8700" width="9.26953125" style="7" bestFit="1" customWidth="1"/>
    <col min="8701" max="8701" width="12.81640625" style="7" customWidth="1"/>
    <col min="8702" max="8702" width="17.26953125" style="7" customWidth="1"/>
    <col min="8703" max="8703" width="2.1796875" style="7" customWidth="1"/>
    <col min="8704" max="8704" width="9.1796875" style="7"/>
    <col min="8705" max="8705" width="42.7265625" style="7" customWidth="1"/>
    <col min="8706" max="8706" width="19.7265625" style="7" customWidth="1"/>
    <col min="8707" max="8707" width="5.7265625" style="7" customWidth="1"/>
    <col min="8708" max="8708" width="19.7265625" style="7" customWidth="1"/>
    <col min="8709" max="8709" width="4.7265625" style="7" customWidth="1"/>
    <col min="8710" max="8953" width="9.1796875" style="7"/>
    <col min="8954" max="8954" width="32.81640625" style="7" customWidth="1"/>
    <col min="8955" max="8955" width="12.81640625" style="7" customWidth="1"/>
    <col min="8956" max="8956" width="9.26953125" style="7" bestFit="1" customWidth="1"/>
    <col min="8957" max="8957" width="12.81640625" style="7" customWidth="1"/>
    <col min="8958" max="8958" width="17.26953125" style="7" customWidth="1"/>
    <col min="8959" max="8959" width="2.1796875" style="7" customWidth="1"/>
    <col min="8960" max="8960" width="9.1796875" style="7"/>
    <col min="8961" max="8961" width="42.7265625" style="7" customWidth="1"/>
    <col min="8962" max="8962" width="19.7265625" style="7" customWidth="1"/>
    <col min="8963" max="8963" width="5.7265625" style="7" customWidth="1"/>
    <col min="8964" max="8964" width="19.7265625" style="7" customWidth="1"/>
    <col min="8965" max="8965" width="4.7265625" style="7" customWidth="1"/>
    <col min="8966" max="9209" width="9.1796875" style="7"/>
    <col min="9210" max="9210" width="32.81640625" style="7" customWidth="1"/>
    <col min="9211" max="9211" width="12.81640625" style="7" customWidth="1"/>
    <col min="9212" max="9212" width="9.26953125" style="7" bestFit="1" customWidth="1"/>
    <col min="9213" max="9213" width="12.81640625" style="7" customWidth="1"/>
    <col min="9214" max="9214" width="17.26953125" style="7" customWidth="1"/>
    <col min="9215" max="9215" width="2.1796875" style="7" customWidth="1"/>
    <col min="9216" max="9216" width="9.1796875" style="7"/>
    <col min="9217" max="9217" width="42.7265625" style="7" customWidth="1"/>
    <col min="9218" max="9218" width="19.7265625" style="7" customWidth="1"/>
    <col min="9219" max="9219" width="5.7265625" style="7" customWidth="1"/>
    <col min="9220" max="9220" width="19.7265625" style="7" customWidth="1"/>
    <col min="9221" max="9221" width="4.7265625" style="7" customWidth="1"/>
    <col min="9222" max="9465" width="9.1796875" style="7"/>
    <col min="9466" max="9466" width="32.81640625" style="7" customWidth="1"/>
    <col min="9467" max="9467" width="12.81640625" style="7" customWidth="1"/>
    <col min="9468" max="9468" width="9.26953125" style="7" bestFit="1" customWidth="1"/>
    <col min="9469" max="9469" width="12.81640625" style="7" customWidth="1"/>
    <col min="9470" max="9470" width="17.26953125" style="7" customWidth="1"/>
    <col min="9471" max="9471" width="2.1796875" style="7" customWidth="1"/>
    <col min="9472" max="9472" width="9.1796875" style="7"/>
    <col min="9473" max="9473" width="42.7265625" style="7" customWidth="1"/>
    <col min="9474" max="9474" width="19.7265625" style="7" customWidth="1"/>
    <col min="9475" max="9475" width="5.7265625" style="7" customWidth="1"/>
    <col min="9476" max="9476" width="19.7265625" style="7" customWidth="1"/>
    <col min="9477" max="9477" width="4.7265625" style="7" customWidth="1"/>
    <col min="9478" max="9721" width="9.1796875" style="7"/>
    <col min="9722" max="9722" width="32.81640625" style="7" customWidth="1"/>
    <col min="9723" max="9723" width="12.81640625" style="7" customWidth="1"/>
    <col min="9724" max="9724" width="9.26953125" style="7" bestFit="1" customWidth="1"/>
    <col min="9725" max="9725" width="12.81640625" style="7" customWidth="1"/>
    <col min="9726" max="9726" width="17.26953125" style="7" customWidth="1"/>
    <col min="9727" max="9727" width="2.1796875" style="7" customWidth="1"/>
    <col min="9728" max="9728" width="9.1796875" style="7"/>
    <col min="9729" max="9729" width="42.7265625" style="7" customWidth="1"/>
    <col min="9730" max="9730" width="19.7265625" style="7" customWidth="1"/>
    <col min="9731" max="9731" width="5.7265625" style="7" customWidth="1"/>
    <col min="9732" max="9732" width="19.7265625" style="7" customWidth="1"/>
    <col min="9733" max="9733" width="4.7265625" style="7" customWidth="1"/>
    <col min="9734" max="9977" width="9.1796875" style="7"/>
    <col min="9978" max="9978" width="32.81640625" style="7" customWidth="1"/>
    <col min="9979" max="9979" width="12.81640625" style="7" customWidth="1"/>
    <col min="9980" max="9980" width="9.26953125" style="7" bestFit="1" customWidth="1"/>
    <col min="9981" max="9981" width="12.81640625" style="7" customWidth="1"/>
    <col min="9982" max="9982" width="17.26953125" style="7" customWidth="1"/>
    <col min="9983" max="9983" width="2.1796875" style="7" customWidth="1"/>
    <col min="9984" max="9984" width="9.1796875" style="7"/>
    <col min="9985" max="9985" width="42.7265625" style="7" customWidth="1"/>
    <col min="9986" max="9986" width="19.7265625" style="7" customWidth="1"/>
    <col min="9987" max="9987" width="5.7265625" style="7" customWidth="1"/>
    <col min="9988" max="9988" width="19.7265625" style="7" customWidth="1"/>
    <col min="9989" max="9989" width="4.7265625" style="7" customWidth="1"/>
    <col min="9990" max="10233" width="9.1796875" style="7"/>
    <col min="10234" max="10234" width="32.81640625" style="7" customWidth="1"/>
    <col min="10235" max="10235" width="12.81640625" style="7" customWidth="1"/>
    <col min="10236" max="10236" width="9.26953125" style="7" bestFit="1" customWidth="1"/>
    <col min="10237" max="10237" width="12.81640625" style="7" customWidth="1"/>
    <col min="10238" max="10238" width="17.26953125" style="7" customWidth="1"/>
    <col min="10239" max="10239" width="2.1796875" style="7" customWidth="1"/>
    <col min="10240" max="10240" width="9.1796875" style="7"/>
    <col min="10241" max="10241" width="42.7265625" style="7" customWidth="1"/>
    <col min="10242" max="10242" width="19.7265625" style="7" customWidth="1"/>
    <col min="10243" max="10243" width="5.7265625" style="7" customWidth="1"/>
    <col min="10244" max="10244" width="19.7265625" style="7" customWidth="1"/>
    <col min="10245" max="10245" width="4.7265625" style="7" customWidth="1"/>
    <col min="10246" max="10489" width="9.1796875" style="7"/>
    <col min="10490" max="10490" width="32.81640625" style="7" customWidth="1"/>
    <col min="10491" max="10491" width="12.81640625" style="7" customWidth="1"/>
    <col min="10492" max="10492" width="9.26953125" style="7" bestFit="1" customWidth="1"/>
    <col min="10493" max="10493" width="12.81640625" style="7" customWidth="1"/>
    <col min="10494" max="10494" width="17.26953125" style="7" customWidth="1"/>
    <col min="10495" max="10495" width="2.1796875" style="7" customWidth="1"/>
    <col min="10496" max="10496" width="9.1796875" style="7"/>
    <col min="10497" max="10497" width="42.7265625" style="7" customWidth="1"/>
    <col min="10498" max="10498" width="19.7265625" style="7" customWidth="1"/>
    <col min="10499" max="10499" width="5.7265625" style="7" customWidth="1"/>
    <col min="10500" max="10500" width="19.7265625" style="7" customWidth="1"/>
    <col min="10501" max="10501" width="4.7265625" style="7" customWidth="1"/>
    <col min="10502" max="10745" width="9.1796875" style="7"/>
    <col min="10746" max="10746" width="32.81640625" style="7" customWidth="1"/>
    <col min="10747" max="10747" width="12.81640625" style="7" customWidth="1"/>
    <col min="10748" max="10748" width="9.26953125" style="7" bestFit="1" customWidth="1"/>
    <col min="10749" max="10749" width="12.81640625" style="7" customWidth="1"/>
    <col min="10750" max="10750" width="17.26953125" style="7" customWidth="1"/>
    <col min="10751" max="10751" width="2.1796875" style="7" customWidth="1"/>
    <col min="10752" max="10752" width="9.1796875" style="7"/>
    <col min="10753" max="10753" width="42.7265625" style="7" customWidth="1"/>
    <col min="10754" max="10754" width="19.7265625" style="7" customWidth="1"/>
    <col min="10755" max="10755" width="5.7265625" style="7" customWidth="1"/>
    <col min="10756" max="10756" width="19.7265625" style="7" customWidth="1"/>
    <col min="10757" max="10757" width="4.7265625" style="7" customWidth="1"/>
    <col min="10758" max="11001" width="9.1796875" style="7"/>
    <col min="11002" max="11002" width="32.81640625" style="7" customWidth="1"/>
    <col min="11003" max="11003" width="12.81640625" style="7" customWidth="1"/>
    <col min="11004" max="11004" width="9.26953125" style="7" bestFit="1" customWidth="1"/>
    <col min="11005" max="11005" width="12.81640625" style="7" customWidth="1"/>
    <col min="11006" max="11006" width="17.26953125" style="7" customWidth="1"/>
    <col min="11007" max="11007" width="2.1796875" style="7" customWidth="1"/>
    <col min="11008" max="11008" width="9.1796875" style="7"/>
    <col min="11009" max="11009" width="42.7265625" style="7" customWidth="1"/>
    <col min="11010" max="11010" width="19.7265625" style="7" customWidth="1"/>
    <col min="11011" max="11011" width="5.7265625" style="7" customWidth="1"/>
    <col min="11012" max="11012" width="19.7265625" style="7" customWidth="1"/>
    <col min="11013" max="11013" width="4.7265625" style="7" customWidth="1"/>
    <col min="11014" max="11257" width="9.1796875" style="7"/>
    <col min="11258" max="11258" width="32.81640625" style="7" customWidth="1"/>
    <col min="11259" max="11259" width="12.81640625" style="7" customWidth="1"/>
    <col min="11260" max="11260" width="9.26953125" style="7" bestFit="1" customWidth="1"/>
    <col min="11261" max="11261" width="12.81640625" style="7" customWidth="1"/>
    <col min="11262" max="11262" width="17.26953125" style="7" customWidth="1"/>
    <col min="11263" max="11263" width="2.1796875" style="7" customWidth="1"/>
    <col min="11264" max="11264" width="9.1796875" style="7"/>
    <col min="11265" max="11265" width="42.7265625" style="7" customWidth="1"/>
    <col min="11266" max="11266" width="19.7265625" style="7" customWidth="1"/>
    <col min="11267" max="11267" width="5.7265625" style="7" customWidth="1"/>
    <col min="11268" max="11268" width="19.7265625" style="7" customWidth="1"/>
    <col min="11269" max="11269" width="4.7265625" style="7" customWidth="1"/>
    <col min="11270" max="11513" width="9.1796875" style="7"/>
    <col min="11514" max="11514" width="32.81640625" style="7" customWidth="1"/>
    <col min="11515" max="11515" width="12.81640625" style="7" customWidth="1"/>
    <col min="11516" max="11516" width="9.26953125" style="7" bestFit="1" customWidth="1"/>
    <col min="11517" max="11517" width="12.81640625" style="7" customWidth="1"/>
    <col min="11518" max="11518" width="17.26953125" style="7" customWidth="1"/>
    <col min="11519" max="11519" width="2.1796875" style="7" customWidth="1"/>
    <col min="11520" max="11520" width="9.1796875" style="7"/>
    <col min="11521" max="11521" width="42.7265625" style="7" customWidth="1"/>
    <col min="11522" max="11522" width="19.7265625" style="7" customWidth="1"/>
    <col min="11523" max="11523" width="5.7265625" style="7" customWidth="1"/>
    <col min="11524" max="11524" width="19.7265625" style="7" customWidth="1"/>
    <col min="11525" max="11525" width="4.7265625" style="7" customWidth="1"/>
    <col min="11526" max="11769" width="9.1796875" style="7"/>
    <col min="11770" max="11770" width="32.81640625" style="7" customWidth="1"/>
    <col min="11771" max="11771" width="12.81640625" style="7" customWidth="1"/>
    <col min="11772" max="11772" width="9.26953125" style="7" bestFit="1" customWidth="1"/>
    <col min="11773" max="11773" width="12.81640625" style="7" customWidth="1"/>
    <col min="11774" max="11774" width="17.26953125" style="7" customWidth="1"/>
    <col min="11775" max="11775" width="2.1796875" style="7" customWidth="1"/>
    <col min="11776" max="11776" width="9.1796875" style="7"/>
    <col min="11777" max="11777" width="42.7265625" style="7" customWidth="1"/>
    <col min="11778" max="11778" width="19.7265625" style="7" customWidth="1"/>
    <col min="11779" max="11779" width="5.7265625" style="7" customWidth="1"/>
    <col min="11780" max="11780" width="19.7265625" style="7" customWidth="1"/>
    <col min="11781" max="11781" width="4.7265625" style="7" customWidth="1"/>
    <col min="11782" max="12025" width="9.1796875" style="7"/>
    <col min="12026" max="12026" width="32.81640625" style="7" customWidth="1"/>
    <col min="12027" max="12027" width="12.81640625" style="7" customWidth="1"/>
    <col min="12028" max="12028" width="9.26953125" style="7" bestFit="1" customWidth="1"/>
    <col min="12029" max="12029" width="12.81640625" style="7" customWidth="1"/>
    <col min="12030" max="12030" width="17.26953125" style="7" customWidth="1"/>
    <col min="12031" max="12031" width="2.1796875" style="7" customWidth="1"/>
    <col min="12032" max="12032" width="9.1796875" style="7"/>
    <col min="12033" max="12033" width="42.7265625" style="7" customWidth="1"/>
    <col min="12034" max="12034" width="19.7265625" style="7" customWidth="1"/>
    <col min="12035" max="12035" width="5.7265625" style="7" customWidth="1"/>
    <col min="12036" max="12036" width="19.7265625" style="7" customWidth="1"/>
    <col min="12037" max="12037" width="4.7265625" style="7" customWidth="1"/>
    <col min="12038" max="12281" width="9.1796875" style="7"/>
    <col min="12282" max="12282" width="32.81640625" style="7" customWidth="1"/>
    <col min="12283" max="12283" width="12.81640625" style="7" customWidth="1"/>
    <col min="12284" max="12284" width="9.26953125" style="7" bestFit="1" customWidth="1"/>
    <col min="12285" max="12285" width="12.81640625" style="7" customWidth="1"/>
    <col min="12286" max="12286" width="17.26953125" style="7" customWidth="1"/>
    <col min="12287" max="12287" width="2.1796875" style="7" customWidth="1"/>
    <col min="12288" max="12288" width="9.1796875" style="7"/>
    <col min="12289" max="12289" width="42.7265625" style="7" customWidth="1"/>
    <col min="12290" max="12290" width="19.7265625" style="7" customWidth="1"/>
    <col min="12291" max="12291" width="5.7265625" style="7" customWidth="1"/>
    <col min="12292" max="12292" width="19.7265625" style="7" customWidth="1"/>
    <col min="12293" max="12293" width="4.7265625" style="7" customWidth="1"/>
    <col min="12294" max="12537" width="9.1796875" style="7"/>
    <col min="12538" max="12538" width="32.81640625" style="7" customWidth="1"/>
    <col min="12539" max="12539" width="12.81640625" style="7" customWidth="1"/>
    <col min="12540" max="12540" width="9.26953125" style="7" bestFit="1" customWidth="1"/>
    <col min="12541" max="12541" width="12.81640625" style="7" customWidth="1"/>
    <col min="12542" max="12542" width="17.26953125" style="7" customWidth="1"/>
    <col min="12543" max="12543" width="2.1796875" style="7" customWidth="1"/>
    <col min="12544" max="12544" width="9.1796875" style="7"/>
    <col min="12545" max="12545" width="42.7265625" style="7" customWidth="1"/>
    <col min="12546" max="12546" width="19.7265625" style="7" customWidth="1"/>
    <col min="12547" max="12547" width="5.7265625" style="7" customWidth="1"/>
    <col min="12548" max="12548" width="19.7265625" style="7" customWidth="1"/>
    <col min="12549" max="12549" width="4.7265625" style="7" customWidth="1"/>
    <col min="12550" max="12793" width="9.1796875" style="7"/>
    <col min="12794" max="12794" width="32.81640625" style="7" customWidth="1"/>
    <col min="12795" max="12795" width="12.81640625" style="7" customWidth="1"/>
    <col min="12796" max="12796" width="9.26953125" style="7" bestFit="1" customWidth="1"/>
    <col min="12797" max="12797" width="12.81640625" style="7" customWidth="1"/>
    <col min="12798" max="12798" width="17.26953125" style="7" customWidth="1"/>
    <col min="12799" max="12799" width="2.1796875" style="7" customWidth="1"/>
    <col min="12800" max="12800" width="9.1796875" style="7"/>
    <col min="12801" max="12801" width="42.7265625" style="7" customWidth="1"/>
    <col min="12802" max="12802" width="19.7265625" style="7" customWidth="1"/>
    <col min="12803" max="12803" width="5.7265625" style="7" customWidth="1"/>
    <col min="12804" max="12804" width="19.7265625" style="7" customWidth="1"/>
    <col min="12805" max="12805" width="4.7265625" style="7" customWidth="1"/>
    <col min="12806" max="13049" width="9.1796875" style="7"/>
    <col min="13050" max="13050" width="32.81640625" style="7" customWidth="1"/>
    <col min="13051" max="13051" width="12.81640625" style="7" customWidth="1"/>
    <col min="13052" max="13052" width="9.26953125" style="7" bestFit="1" customWidth="1"/>
    <col min="13053" max="13053" width="12.81640625" style="7" customWidth="1"/>
    <col min="13054" max="13054" width="17.26953125" style="7" customWidth="1"/>
    <col min="13055" max="13055" width="2.1796875" style="7" customWidth="1"/>
    <col min="13056" max="13056" width="9.1796875" style="7"/>
    <col min="13057" max="13057" width="42.7265625" style="7" customWidth="1"/>
    <col min="13058" max="13058" width="19.7265625" style="7" customWidth="1"/>
    <col min="13059" max="13059" width="5.7265625" style="7" customWidth="1"/>
    <col min="13060" max="13060" width="19.7265625" style="7" customWidth="1"/>
    <col min="13061" max="13061" width="4.7265625" style="7" customWidth="1"/>
    <col min="13062" max="13305" width="9.1796875" style="7"/>
    <col min="13306" max="13306" width="32.81640625" style="7" customWidth="1"/>
    <col min="13307" max="13307" width="12.81640625" style="7" customWidth="1"/>
    <col min="13308" max="13308" width="9.26953125" style="7" bestFit="1" customWidth="1"/>
    <col min="13309" max="13309" width="12.81640625" style="7" customWidth="1"/>
    <col min="13310" max="13310" width="17.26953125" style="7" customWidth="1"/>
    <col min="13311" max="13311" width="2.1796875" style="7" customWidth="1"/>
    <col min="13312" max="13312" width="9.1796875" style="7"/>
    <col min="13313" max="13313" width="42.7265625" style="7" customWidth="1"/>
    <col min="13314" max="13314" width="19.7265625" style="7" customWidth="1"/>
    <col min="13315" max="13315" width="5.7265625" style="7" customWidth="1"/>
    <col min="13316" max="13316" width="19.7265625" style="7" customWidth="1"/>
    <col min="13317" max="13317" width="4.7265625" style="7" customWidth="1"/>
    <col min="13318" max="13561" width="9.1796875" style="7"/>
    <col min="13562" max="13562" width="32.81640625" style="7" customWidth="1"/>
    <col min="13563" max="13563" width="12.81640625" style="7" customWidth="1"/>
    <col min="13564" max="13564" width="9.26953125" style="7" bestFit="1" customWidth="1"/>
    <col min="13565" max="13565" width="12.81640625" style="7" customWidth="1"/>
    <col min="13566" max="13566" width="17.26953125" style="7" customWidth="1"/>
    <col min="13567" max="13567" width="2.1796875" style="7" customWidth="1"/>
    <col min="13568" max="13568" width="9.1796875" style="7"/>
    <col min="13569" max="13569" width="42.7265625" style="7" customWidth="1"/>
    <col min="13570" max="13570" width="19.7265625" style="7" customWidth="1"/>
    <col min="13571" max="13571" width="5.7265625" style="7" customWidth="1"/>
    <col min="13572" max="13572" width="19.7265625" style="7" customWidth="1"/>
    <col min="13573" max="13573" width="4.7265625" style="7" customWidth="1"/>
    <col min="13574" max="13817" width="9.1796875" style="7"/>
    <col min="13818" max="13818" width="32.81640625" style="7" customWidth="1"/>
    <col min="13819" max="13819" width="12.81640625" style="7" customWidth="1"/>
    <col min="13820" max="13820" width="9.26953125" style="7" bestFit="1" customWidth="1"/>
    <col min="13821" max="13821" width="12.81640625" style="7" customWidth="1"/>
    <col min="13822" max="13822" width="17.26953125" style="7" customWidth="1"/>
    <col min="13823" max="13823" width="2.1796875" style="7" customWidth="1"/>
    <col min="13824" max="13824" width="9.1796875" style="7"/>
    <col min="13825" max="13825" width="42.7265625" style="7" customWidth="1"/>
    <col min="13826" max="13826" width="19.7265625" style="7" customWidth="1"/>
    <col min="13827" max="13827" width="5.7265625" style="7" customWidth="1"/>
    <col min="13828" max="13828" width="19.7265625" style="7" customWidth="1"/>
    <col min="13829" max="13829" width="4.7265625" style="7" customWidth="1"/>
    <col min="13830" max="14073" width="9.1796875" style="7"/>
    <col min="14074" max="14074" width="32.81640625" style="7" customWidth="1"/>
    <col min="14075" max="14075" width="12.81640625" style="7" customWidth="1"/>
    <col min="14076" max="14076" width="9.26953125" style="7" bestFit="1" customWidth="1"/>
    <col min="14077" max="14077" width="12.81640625" style="7" customWidth="1"/>
    <col min="14078" max="14078" width="17.26953125" style="7" customWidth="1"/>
    <col min="14079" max="14079" width="2.1796875" style="7" customWidth="1"/>
    <col min="14080" max="14080" width="9.1796875" style="7"/>
    <col min="14081" max="14081" width="42.7265625" style="7" customWidth="1"/>
    <col min="14082" max="14082" width="19.7265625" style="7" customWidth="1"/>
    <col min="14083" max="14083" width="5.7265625" style="7" customWidth="1"/>
    <col min="14084" max="14084" width="19.7265625" style="7" customWidth="1"/>
    <col min="14085" max="14085" width="4.7265625" style="7" customWidth="1"/>
    <col min="14086" max="14329" width="9.1796875" style="7"/>
    <col min="14330" max="14330" width="32.81640625" style="7" customWidth="1"/>
    <col min="14331" max="14331" width="12.81640625" style="7" customWidth="1"/>
    <col min="14332" max="14332" width="9.26953125" style="7" bestFit="1" customWidth="1"/>
    <col min="14333" max="14333" width="12.81640625" style="7" customWidth="1"/>
    <col min="14334" max="14334" width="17.26953125" style="7" customWidth="1"/>
    <col min="14335" max="14335" width="2.1796875" style="7" customWidth="1"/>
    <col min="14336" max="14336" width="9.1796875" style="7"/>
    <col min="14337" max="14337" width="42.7265625" style="7" customWidth="1"/>
    <col min="14338" max="14338" width="19.7265625" style="7" customWidth="1"/>
    <col min="14339" max="14339" width="5.7265625" style="7" customWidth="1"/>
    <col min="14340" max="14340" width="19.7265625" style="7" customWidth="1"/>
    <col min="14341" max="14341" width="4.7265625" style="7" customWidth="1"/>
    <col min="14342" max="14585" width="9.1796875" style="7"/>
    <col min="14586" max="14586" width="32.81640625" style="7" customWidth="1"/>
    <col min="14587" max="14587" width="12.81640625" style="7" customWidth="1"/>
    <col min="14588" max="14588" width="9.26953125" style="7" bestFit="1" customWidth="1"/>
    <col min="14589" max="14589" width="12.81640625" style="7" customWidth="1"/>
    <col min="14590" max="14590" width="17.26953125" style="7" customWidth="1"/>
    <col min="14591" max="14591" width="2.1796875" style="7" customWidth="1"/>
    <col min="14592" max="14592" width="9.1796875" style="7"/>
    <col min="14593" max="14593" width="42.7265625" style="7" customWidth="1"/>
    <col min="14594" max="14594" width="19.7265625" style="7" customWidth="1"/>
    <col min="14595" max="14595" width="5.7265625" style="7" customWidth="1"/>
    <col min="14596" max="14596" width="19.7265625" style="7" customWidth="1"/>
    <col min="14597" max="14597" width="4.7265625" style="7" customWidth="1"/>
    <col min="14598" max="14841" width="9.1796875" style="7"/>
    <col min="14842" max="14842" width="32.81640625" style="7" customWidth="1"/>
    <col min="14843" max="14843" width="12.81640625" style="7" customWidth="1"/>
    <col min="14844" max="14844" width="9.26953125" style="7" bestFit="1" customWidth="1"/>
    <col min="14845" max="14845" width="12.81640625" style="7" customWidth="1"/>
    <col min="14846" max="14846" width="17.26953125" style="7" customWidth="1"/>
    <col min="14847" max="14847" width="2.1796875" style="7" customWidth="1"/>
    <col min="14848" max="14848" width="9.1796875" style="7"/>
    <col min="14849" max="14849" width="42.7265625" style="7" customWidth="1"/>
    <col min="14850" max="14850" width="19.7265625" style="7" customWidth="1"/>
    <col min="14851" max="14851" width="5.7265625" style="7" customWidth="1"/>
    <col min="14852" max="14852" width="19.7265625" style="7" customWidth="1"/>
    <col min="14853" max="14853" width="4.7265625" style="7" customWidth="1"/>
    <col min="14854" max="15097" width="9.1796875" style="7"/>
    <col min="15098" max="15098" width="32.81640625" style="7" customWidth="1"/>
    <col min="15099" max="15099" width="12.81640625" style="7" customWidth="1"/>
    <col min="15100" max="15100" width="9.26953125" style="7" bestFit="1" customWidth="1"/>
    <col min="15101" max="15101" width="12.81640625" style="7" customWidth="1"/>
    <col min="15102" max="15102" width="17.26953125" style="7" customWidth="1"/>
    <col min="15103" max="15103" width="2.1796875" style="7" customWidth="1"/>
    <col min="15104" max="15104" width="9.1796875" style="7"/>
    <col min="15105" max="15105" width="42.7265625" style="7" customWidth="1"/>
    <col min="15106" max="15106" width="19.7265625" style="7" customWidth="1"/>
    <col min="15107" max="15107" width="5.7265625" style="7" customWidth="1"/>
    <col min="15108" max="15108" width="19.7265625" style="7" customWidth="1"/>
    <col min="15109" max="15109" width="4.7265625" style="7" customWidth="1"/>
    <col min="15110" max="15353" width="9.1796875" style="7"/>
    <col min="15354" max="15354" width="32.81640625" style="7" customWidth="1"/>
    <col min="15355" max="15355" width="12.81640625" style="7" customWidth="1"/>
    <col min="15356" max="15356" width="9.26953125" style="7" bestFit="1" customWidth="1"/>
    <col min="15357" max="15357" width="12.81640625" style="7" customWidth="1"/>
    <col min="15358" max="15358" width="17.26953125" style="7" customWidth="1"/>
    <col min="15359" max="15359" width="2.1796875" style="7" customWidth="1"/>
    <col min="15360" max="15360" width="9.1796875" style="7"/>
    <col min="15361" max="15361" width="42.7265625" style="7" customWidth="1"/>
    <col min="15362" max="15362" width="19.7265625" style="7" customWidth="1"/>
    <col min="15363" max="15363" width="5.7265625" style="7" customWidth="1"/>
    <col min="15364" max="15364" width="19.7265625" style="7" customWidth="1"/>
    <col min="15365" max="15365" width="4.7265625" style="7" customWidth="1"/>
    <col min="15366" max="15609" width="9.1796875" style="7"/>
    <col min="15610" max="15610" width="32.81640625" style="7" customWidth="1"/>
    <col min="15611" max="15611" width="12.81640625" style="7" customWidth="1"/>
    <col min="15612" max="15612" width="9.26953125" style="7" bestFit="1" customWidth="1"/>
    <col min="15613" max="15613" width="12.81640625" style="7" customWidth="1"/>
    <col min="15614" max="15614" width="17.26953125" style="7" customWidth="1"/>
    <col min="15615" max="15615" width="2.1796875" style="7" customWidth="1"/>
    <col min="15616" max="15616" width="9.1796875" style="7"/>
    <col min="15617" max="15617" width="42.7265625" style="7" customWidth="1"/>
    <col min="15618" max="15618" width="19.7265625" style="7" customWidth="1"/>
    <col min="15619" max="15619" width="5.7265625" style="7" customWidth="1"/>
    <col min="15620" max="15620" width="19.7265625" style="7" customWidth="1"/>
    <col min="15621" max="15621" width="4.7265625" style="7" customWidth="1"/>
    <col min="15622" max="15865" width="9.1796875" style="7"/>
    <col min="15866" max="15866" width="32.81640625" style="7" customWidth="1"/>
    <col min="15867" max="15867" width="12.81640625" style="7" customWidth="1"/>
    <col min="15868" max="15868" width="9.26953125" style="7" bestFit="1" customWidth="1"/>
    <col min="15869" max="15869" width="12.81640625" style="7" customWidth="1"/>
    <col min="15870" max="15870" width="17.26953125" style="7" customWidth="1"/>
    <col min="15871" max="15871" width="2.1796875" style="7" customWidth="1"/>
    <col min="15872" max="15872" width="9.1796875" style="7"/>
    <col min="15873" max="15873" width="42.7265625" style="7" customWidth="1"/>
    <col min="15874" max="15874" width="19.7265625" style="7" customWidth="1"/>
    <col min="15875" max="15875" width="5.7265625" style="7" customWidth="1"/>
    <col min="15876" max="15876" width="19.7265625" style="7" customWidth="1"/>
    <col min="15877" max="15877" width="4.7265625" style="7" customWidth="1"/>
    <col min="15878" max="16121" width="9.1796875" style="7"/>
    <col min="16122" max="16122" width="32.81640625" style="7" customWidth="1"/>
    <col min="16123" max="16123" width="12.81640625" style="7" customWidth="1"/>
    <col min="16124" max="16124" width="9.26953125" style="7" bestFit="1" customWidth="1"/>
    <col min="16125" max="16125" width="12.81640625" style="7" customWidth="1"/>
    <col min="16126" max="16126" width="17.26953125" style="7" customWidth="1"/>
    <col min="16127" max="16127" width="2.1796875" style="7" customWidth="1"/>
    <col min="16128" max="16128" width="9.1796875" style="7"/>
    <col min="16129" max="16129" width="42.7265625" style="7" customWidth="1"/>
    <col min="16130" max="16130" width="19.7265625" style="7" customWidth="1"/>
    <col min="16131" max="16131" width="5.7265625" style="7" customWidth="1"/>
    <col min="16132" max="16132" width="19.7265625" style="7" customWidth="1"/>
    <col min="16133" max="16133" width="4.7265625" style="7" customWidth="1"/>
    <col min="16134" max="16377" width="9.1796875" style="7"/>
    <col min="16378" max="16378" width="32.81640625" style="7" customWidth="1"/>
    <col min="16379" max="16379" width="12.81640625" style="7" customWidth="1"/>
    <col min="16380" max="16380" width="9.26953125" style="7" bestFit="1" customWidth="1"/>
    <col min="16381" max="16381" width="12.81640625" style="7" customWidth="1"/>
    <col min="16382" max="16382" width="17.26953125" style="7" customWidth="1"/>
    <col min="16383" max="16383" width="2.1796875" style="7" customWidth="1"/>
    <col min="16384" max="16384" width="9.1796875" style="7"/>
  </cols>
  <sheetData>
    <row r="1" spans="1:7" ht="5.25" customHeight="1" thickBot="1" x14ac:dyDescent="0.35">
      <c r="A1" s="5" t="s">
        <v>106</v>
      </c>
    </row>
    <row r="2" spans="1:7" ht="16" thickBot="1" x14ac:dyDescent="0.4">
      <c r="A2" s="36" t="s">
        <v>107</v>
      </c>
      <c r="B2" s="37"/>
      <c r="C2" s="37"/>
      <c r="D2" s="38"/>
      <c r="E2" s="3" t="s">
        <v>108</v>
      </c>
    </row>
    <row r="3" spans="1:7" ht="15.5" x14ac:dyDescent="0.35">
      <c r="A3" s="39" t="s">
        <v>45</v>
      </c>
      <c r="B3" s="207"/>
      <c r="C3" s="208"/>
      <c r="D3" s="209"/>
      <c r="E3" s="9" t="s">
        <v>172</v>
      </c>
    </row>
    <row r="4" spans="1:7" ht="15.5" x14ac:dyDescent="0.35">
      <c r="A4" s="39" t="s">
        <v>42</v>
      </c>
      <c r="B4" s="210"/>
      <c r="C4" s="211"/>
      <c r="D4" s="212"/>
      <c r="E4" s="9" t="s">
        <v>173</v>
      </c>
    </row>
    <row r="5" spans="1:7" ht="16" thickBot="1" x14ac:dyDescent="0.4">
      <c r="A5" s="40" t="s">
        <v>37</v>
      </c>
      <c r="B5" s="213"/>
      <c r="C5" s="214"/>
      <c r="D5" s="215"/>
      <c r="E5" s="9" t="s">
        <v>36</v>
      </c>
    </row>
    <row r="6" spans="1:7" ht="12" customHeight="1" thickBot="1" x14ac:dyDescent="0.35">
      <c r="A6" s="41"/>
      <c r="B6" s="42"/>
      <c r="C6" s="125"/>
      <c r="D6" s="126"/>
    </row>
    <row r="7" spans="1:7" ht="16" thickBot="1" x14ac:dyDescent="0.4">
      <c r="A7" s="43" t="s">
        <v>109</v>
      </c>
      <c r="B7" s="44"/>
      <c r="C7" s="304"/>
      <c r="D7" s="305"/>
    </row>
    <row r="8" spans="1:7" ht="12" customHeight="1" thickBot="1" x14ac:dyDescent="0.4">
      <c r="A8" s="45"/>
      <c r="B8" s="46"/>
      <c r="C8" s="46"/>
      <c r="D8" s="47"/>
    </row>
    <row r="9" spans="1:7" ht="16" thickBot="1" x14ac:dyDescent="0.4">
      <c r="A9" s="48" t="s">
        <v>110</v>
      </c>
      <c r="B9" s="127" t="s">
        <v>111</v>
      </c>
      <c r="C9" s="44"/>
      <c r="D9" s="128" t="s">
        <v>112</v>
      </c>
      <c r="E9" s="49"/>
      <c r="F9" s="50"/>
      <c r="G9" s="50"/>
    </row>
    <row r="10" spans="1:7" ht="15.5" x14ac:dyDescent="0.35">
      <c r="A10" s="51" t="s">
        <v>113</v>
      </c>
      <c r="B10" s="216"/>
      <c r="C10" s="52">
        <f>B10/60</f>
        <v>0</v>
      </c>
      <c r="D10" s="56"/>
      <c r="E10" s="54"/>
      <c r="F10" s="55"/>
      <c r="G10" s="55"/>
    </row>
    <row r="11" spans="1:7" ht="15.5" x14ac:dyDescent="0.35">
      <c r="A11" s="51" t="s">
        <v>114</v>
      </c>
      <c r="B11" s="217"/>
      <c r="C11" s="52"/>
      <c r="D11" s="56"/>
      <c r="E11" s="54"/>
      <c r="F11" s="55"/>
      <c r="G11" s="55"/>
    </row>
    <row r="12" spans="1:7" ht="15.5" x14ac:dyDescent="0.35">
      <c r="A12" s="51" t="s">
        <v>171</v>
      </c>
      <c r="B12" s="218"/>
      <c r="C12" s="52"/>
      <c r="D12" s="56"/>
      <c r="E12" s="54"/>
      <c r="F12" s="55"/>
      <c r="G12" s="55"/>
    </row>
    <row r="13" spans="1:7" ht="15.5" x14ac:dyDescent="0.35">
      <c r="A13" s="51" t="s">
        <v>115</v>
      </c>
      <c r="B13" s="57">
        <v>8760</v>
      </c>
      <c r="C13" s="52"/>
      <c r="D13" s="58"/>
      <c r="G13" s="55"/>
    </row>
    <row r="14" spans="1:7" ht="15.5" x14ac:dyDescent="0.35">
      <c r="A14" s="51" t="s">
        <v>116</v>
      </c>
      <c r="B14" s="59" t="e">
        <f>B13/C10*B11</f>
        <v>#DIV/0!</v>
      </c>
      <c r="C14" s="52"/>
      <c r="D14" s="219"/>
      <c r="E14" s="54"/>
      <c r="F14" s="55"/>
      <c r="G14" s="55"/>
    </row>
    <row r="15" spans="1:7" ht="15.5" x14ac:dyDescent="0.35">
      <c r="A15" s="51" t="s">
        <v>117</v>
      </c>
      <c r="B15" s="60"/>
      <c r="C15" s="61"/>
      <c r="D15" s="220"/>
      <c r="E15" s="54"/>
      <c r="F15" s="55"/>
      <c r="G15" s="62"/>
    </row>
    <row r="16" spans="1:7" ht="12" customHeight="1" thickBot="1" x14ac:dyDescent="0.4">
      <c r="A16" s="63"/>
      <c r="B16" s="64"/>
      <c r="C16" s="65"/>
      <c r="D16" s="66"/>
      <c r="E16" s="9"/>
      <c r="F16" s="67"/>
      <c r="G16" s="67"/>
    </row>
    <row r="17" spans="1:10" ht="12" customHeight="1" thickBot="1" x14ac:dyDescent="0.4">
      <c r="A17" s="68"/>
      <c r="B17" s="69"/>
      <c r="C17" s="70"/>
      <c r="D17" s="71"/>
      <c r="E17" s="72"/>
      <c r="F17" s="67"/>
      <c r="G17" s="67"/>
    </row>
    <row r="18" spans="1:10" ht="16" thickBot="1" x14ac:dyDescent="0.4">
      <c r="A18" s="51" t="s">
        <v>119</v>
      </c>
      <c r="B18" s="73"/>
      <c r="C18" s="74"/>
      <c r="D18" s="75" t="e">
        <f>(B14-D14)*B12</f>
        <v>#DIV/0!</v>
      </c>
      <c r="E18" s="67"/>
      <c r="F18" s="67"/>
      <c r="G18" s="67"/>
      <c r="I18" s="76"/>
      <c r="J18" s="76"/>
    </row>
    <row r="19" spans="1:10" ht="16" thickBot="1" x14ac:dyDescent="0.4">
      <c r="A19" s="51" t="s">
        <v>120</v>
      </c>
      <c r="B19" s="73"/>
      <c r="C19" s="74"/>
      <c r="D19" s="77" t="e">
        <f>D18*10</f>
        <v>#DIV/0!</v>
      </c>
      <c r="E19" s="67"/>
      <c r="F19" s="67"/>
      <c r="G19" s="67"/>
      <c r="I19" s="78"/>
      <c r="J19" s="78"/>
    </row>
    <row r="20" spans="1:10" ht="16" thickBot="1" x14ac:dyDescent="0.4">
      <c r="A20" s="51" t="s">
        <v>121</v>
      </c>
      <c r="B20" s="73"/>
      <c r="C20" s="74"/>
      <c r="D20" s="79" t="e">
        <f>D19/D15</f>
        <v>#DIV/0!</v>
      </c>
      <c r="E20" s="67"/>
      <c r="F20" s="80"/>
      <c r="G20" s="80"/>
      <c r="I20" s="78"/>
      <c r="J20" s="78"/>
    </row>
    <row r="21" spans="1:10" x14ac:dyDescent="0.3">
      <c r="A21" s="81"/>
      <c r="B21" s="82" t="s">
        <v>122</v>
      </c>
      <c r="C21" s="83"/>
      <c r="D21" s="84"/>
      <c r="F21" s="85"/>
      <c r="G21" s="85"/>
      <c r="I21" s="85"/>
      <c r="J21" s="85"/>
    </row>
    <row r="22" spans="1:10" ht="13.5" thickBot="1" x14ac:dyDescent="0.35">
      <c r="A22" s="86"/>
      <c r="B22" s="65"/>
      <c r="C22" s="65"/>
      <c r="D22" s="87"/>
    </row>
    <row r="23" spans="1:10" x14ac:dyDescent="0.3">
      <c r="A23" s="88"/>
      <c r="D23" s="89"/>
    </row>
    <row r="24" spans="1:10" ht="13.5" thickBot="1" x14ac:dyDescent="0.35">
      <c r="A24" s="88"/>
      <c r="D24" s="89"/>
    </row>
    <row r="25" spans="1:10" ht="16" thickBot="1" x14ac:dyDescent="0.4">
      <c r="A25" s="48" t="s">
        <v>123</v>
      </c>
      <c r="B25" s="90" t="s">
        <v>111</v>
      </c>
      <c r="C25" s="44"/>
      <c r="D25" s="90" t="s">
        <v>112</v>
      </c>
      <c r="E25" s="49" t="s">
        <v>124</v>
      </c>
      <c r="F25" s="9"/>
      <c r="G25" s="9"/>
      <c r="H25" s="9"/>
    </row>
    <row r="26" spans="1:10" ht="15.5" x14ac:dyDescent="0.35">
      <c r="A26" s="51" t="s">
        <v>125</v>
      </c>
      <c r="B26" s="222"/>
      <c r="C26" s="91"/>
      <c r="D26" s="92"/>
      <c r="E26" s="54" t="s">
        <v>174</v>
      </c>
      <c r="F26" s="9" t="s">
        <v>126</v>
      </c>
      <c r="G26" s="9"/>
      <c r="H26" s="9"/>
    </row>
    <row r="27" spans="1:10" ht="15.5" x14ac:dyDescent="0.35">
      <c r="A27" s="51" t="s">
        <v>127</v>
      </c>
      <c r="B27" s="223"/>
      <c r="C27" s="93"/>
      <c r="D27" s="221"/>
      <c r="E27" s="54" t="s">
        <v>174</v>
      </c>
      <c r="F27" s="9" t="s">
        <v>175</v>
      </c>
      <c r="G27" s="9"/>
      <c r="H27" s="9"/>
    </row>
    <row r="28" spans="1:10" ht="15.5" x14ac:dyDescent="0.35">
      <c r="A28" s="51" t="s">
        <v>128</v>
      </c>
      <c r="B28" s="224"/>
      <c r="C28" s="91"/>
      <c r="D28" s="53"/>
      <c r="E28" s="54" t="s">
        <v>174</v>
      </c>
      <c r="F28" s="9" t="s">
        <v>5</v>
      </c>
      <c r="G28" s="9"/>
      <c r="H28" s="9"/>
    </row>
    <row r="29" spans="1:10" ht="15.5" x14ac:dyDescent="0.35">
      <c r="A29" s="51" t="s">
        <v>4</v>
      </c>
      <c r="B29" s="94" t="str">
        <f>IF(B28="Annual Professional Maintenance", "0.01", "0.03")</f>
        <v>0.03</v>
      </c>
      <c r="C29" s="91"/>
      <c r="D29" s="56"/>
      <c r="E29" s="54" t="s">
        <v>174</v>
      </c>
      <c r="F29" s="9" t="s">
        <v>129</v>
      </c>
      <c r="G29" s="9"/>
      <c r="H29" s="9"/>
    </row>
    <row r="30" spans="1:10" ht="15.5" x14ac:dyDescent="0.35">
      <c r="A30" s="51" t="s">
        <v>130</v>
      </c>
      <c r="B30" s="59">
        <f>B27*(1-B29)^(B5-B26)</f>
        <v>0</v>
      </c>
      <c r="C30" s="61"/>
      <c r="D30" s="56"/>
      <c r="E30" s="54" t="s">
        <v>174</v>
      </c>
      <c r="F30" s="9" t="s">
        <v>131</v>
      </c>
      <c r="G30" s="9"/>
      <c r="H30" s="9"/>
    </row>
    <row r="31" spans="1:10" ht="12" customHeight="1" x14ac:dyDescent="0.35">
      <c r="A31" s="51"/>
      <c r="B31" s="95"/>
      <c r="C31" s="61"/>
      <c r="D31" s="56"/>
      <c r="E31" s="9" t="s">
        <v>132</v>
      </c>
      <c r="F31" s="9"/>
      <c r="G31" s="9"/>
      <c r="H31" s="9"/>
    </row>
    <row r="32" spans="1:10" ht="15.5" x14ac:dyDescent="0.35">
      <c r="A32" s="51" t="s">
        <v>133</v>
      </c>
      <c r="B32" s="225"/>
      <c r="C32" s="52"/>
      <c r="D32" s="56"/>
      <c r="E32" s="54" t="s">
        <v>174</v>
      </c>
      <c r="F32" s="9" t="s">
        <v>176</v>
      </c>
      <c r="G32" s="9"/>
      <c r="H32" s="9"/>
    </row>
    <row r="33" spans="1:8" ht="15.5" x14ac:dyDescent="0.35">
      <c r="A33" s="51" t="s">
        <v>134</v>
      </c>
      <c r="B33" s="226"/>
      <c r="C33" s="52"/>
      <c r="D33" s="56"/>
      <c r="E33" s="54" t="s">
        <v>174</v>
      </c>
      <c r="F33" s="9" t="s">
        <v>177</v>
      </c>
      <c r="G33" s="9"/>
      <c r="H33" s="9"/>
    </row>
    <row r="34" spans="1:8" ht="15.5" x14ac:dyDescent="0.35">
      <c r="A34" s="51"/>
      <c r="B34" s="96">
        <f>B33*B35</f>
        <v>0</v>
      </c>
      <c r="C34" s="52"/>
      <c r="D34" s="56"/>
      <c r="E34" s="54" t="s">
        <v>174</v>
      </c>
      <c r="F34" s="9" t="s">
        <v>135</v>
      </c>
      <c r="G34" s="9"/>
      <c r="H34" s="9"/>
    </row>
    <row r="35" spans="1:8" ht="15.5" x14ac:dyDescent="0.35">
      <c r="A35" s="51" t="s">
        <v>136</v>
      </c>
      <c r="B35" s="227"/>
      <c r="C35" s="61"/>
      <c r="D35" s="56"/>
      <c r="E35" s="54" t="s">
        <v>174</v>
      </c>
      <c r="F35" s="9" t="s">
        <v>137</v>
      </c>
      <c r="G35" s="9"/>
      <c r="H35" s="9"/>
    </row>
    <row r="36" spans="1:8" ht="12" customHeight="1" thickBot="1" x14ac:dyDescent="0.4">
      <c r="A36" s="97"/>
      <c r="B36" s="61"/>
      <c r="C36" s="61"/>
      <c r="D36" s="98"/>
      <c r="E36" s="54" t="s">
        <v>174</v>
      </c>
      <c r="F36" s="9" t="s">
        <v>138</v>
      </c>
      <c r="G36" s="9"/>
      <c r="H36" s="9"/>
    </row>
    <row r="37" spans="1:8" ht="16" thickBot="1" x14ac:dyDescent="0.4">
      <c r="A37" s="68"/>
      <c r="B37" s="99"/>
      <c r="C37" s="100"/>
      <c r="D37" s="101"/>
      <c r="E37" s="72" t="s">
        <v>118</v>
      </c>
      <c r="F37" s="9"/>
      <c r="G37" s="9"/>
      <c r="H37" s="9"/>
    </row>
    <row r="38" spans="1:8" ht="16" thickBot="1" x14ac:dyDescent="0.4">
      <c r="A38" s="51" t="s">
        <v>139</v>
      </c>
      <c r="B38" s="52"/>
      <c r="C38" s="61"/>
      <c r="D38" s="102" t="e">
        <f>(D27-C40)*0.1</f>
        <v>#DIV/0!</v>
      </c>
      <c r="E38" s="9" t="s">
        <v>140</v>
      </c>
      <c r="F38" s="9"/>
      <c r="G38" s="9"/>
      <c r="H38" s="9"/>
    </row>
    <row r="39" spans="1:8" ht="16" thickBot="1" x14ac:dyDescent="0.4">
      <c r="A39" s="51"/>
      <c r="B39" s="82" t="s">
        <v>141</v>
      </c>
      <c r="C39" s="83"/>
      <c r="D39" s="103"/>
      <c r="E39" s="9"/>
      <c r="F39" s="9"/>
      <c r="G39" s="9"/>
      <c r="H39" s="9"/>
    </row>
    <row r="40" spans="1:8" ht="16" thickBot="1" x14ac:dyDescent="0.4">
      <c r="A40" s="51" t="s">
        <v>142</v>
      </c>
      <c r="B40" s="52"/>
      <c r="C40" s="52" t="e">
        <f>B32/B34</f>
        <v>#DIV/0!</v>
      </c>
      <c r="D40" s="104">
        <f>(D27-B30)*0.1</f>
        <v>0</v>
      </c>
      <c r="E40" s="9" t="s">
        <v>143</v>
      </c>
      <c r="F40" s="9"/>
      <c r="G40" s="9"/>
      <c r="H40" s="9"/>
    </row>
    <row r="41" spans="1:8" ht="15.5" x14ac:dyDescent="0.35">
      <c r="A41" s="51"/>
      <c r="B41" s="82" t="s">
        <v>144</v>
      </c>
      <c r="C41" s="83"/>
      <c r="D41" s="105"/>
    </row>
    <row r="42" spans="1:8" ht="13.5" thickBot="1" x14ac:dyDescent="0.35">
      <c r="A42" s="86"/>
      <c r="B42" s="65"/>
      <c r="C42" s="65"/>
      <c r="D42" s="106"/>
    </row>
    <row r="44" spans="1:8" ht="16" thickBot="1" x14ac:dyDescent="0.4">
      <c r="G44" s="107"/>
    </row>
    <row r="45" spans="1:8" ht="25.5" customHeight="1" thickBot="1" x14ac:dyDescent="0.35">
      <c r="A45" s="108" t="s">
        <v>145</v>
      </c>
      <c r="B45" s="109"/>
      <c r="D45" s="302" t="s">
        <v>178</v>
      </c>
      <c r="E45" s="303"/>
    </row>
    <row r="46" spans="1:8" ht="43.5" x14ac:dyDescent="0.3">
      <c r="A46" s="110" t="s">
        <v>146</v>
      </c>
      <c r="B46" s="111" t="s">
        <v>147</v>
      </c>
      <c r="D46" s="124" t="s">
        <v>163</v>
      </c>
      <c r="E46" s="124" t="s">
        <v>164</v>
      </c>
    </row>
    <row r="47" spans="1:8" ht="14.5" x14ac:dyDescent="0.35">
      <c r="A47" s="118" t="s">
        <v>148</v>
      </c>
      <c r="B47" s="119">
        <v>5000</v>
      </c>
      <c r="D47" s="117">
        <v>5.8</v>
      </c>
      <c r="E47" s="117">
        <v>6</v>
      </c>
    </row>
    <row r="48" spans="1:8" ht="14.5" x14ac:dyDescent="0.35">
      <c r="A48" s="120" t="s">
        <v>149</v>
      </c>
      <c r="B48" s="121">
        <v>6000</v>
      </c>
      <c r="D48" s="117">
        <v>6.7</v>
      </c>
      <c r="E48" s="117">
        <v>7</v>
      </c>
    </row>
    <row r="49" spans="1:5" ht="14.5" x14ac:dyDescent="0.35">
      <c r="A49" s="120" t="s">
        <v>150</v>
      </c>
      <c r="B49" s="121">
        <v>7000</v>
      </c>
      <c r="D49" s="117">
        <v>7.7</v>
      </c>
      <c r="E49" s="117">
        <v>8</v>
      </c>
    </row>
    <row r="50" spans="1:5" ht="14.5" x14ac:dyDescent="0.35">
      <c r="A50" s="120" t="s">
        <v>151</v>
      </c>
      <c r="B50" s="121">
        <v>8000</v>
      </c>
      <c r="D50" s="117">
        <v>8.6</v>
      </c>
      <c r="E50" s="117">
        <v>9</v>
      </c>
    </row>
    <row r="51" spans="1:5" ht="14.5" x14ac:dyDescent="0.35">
      <c r="A51" s="120" t="s">
        <v>152</v>
      </c>
      <c r="B51" s="121">
        <v>9000</v>
      </c>
      <c r="D51" s="117">
        <v>9.6</v>
      </c>
      <c r="E51" s="117">
        <v>10</v>
      </c>
    </row>
    <row r="52" spans="1:5" ht="14.5" x14ac:dyDescent="0.35">
      <c r="A52" s="120" t="s">
        <v>153</v>
      </c>
      <c r="B52" s="121">
        <v>10000</v>
      </c>
      <c r="D52" s="117">
        <v>10.5</v>
      </c>
      <c r="E52" s="117">
        <v>11</v>
      </c>
    </row>
    <row r="53" spans="1:5" ht="14.5" x14ac:dyDescent="0.35">
      <c r="A53" s="120" t="s">
        <v>154</v>
      </c>
      <c r="B53" s="121">
        <v>12000</v>
      </c>
      <c r="D53" s="117">
        <v>11.5</v>
      </c>
      <c r="E53" s="117">
        <v>12</v>
      </c>
    </row>
    <row r="54" spans="1:5" ht="15" thickBot="1" x14ac:dyDescent="0.4">
      <c r="A54" s="122" t="s">
        <v>155</v>
      </c>
      <c r="B54" s="123">
        <v>14000</v>
      </c>
      <c r="D54" s="117">
        <v>12.5</v>
      </c>
      <c r="E54" s="117">
        <v>13</v>
      </c>
    </row>
    <row r="55" spans="1:5" ht="15" thickBot="1" x14ac:dyDescent="0.4">
      <c r="A55" s="112"/>
      <c r="B55" s="112"/>
      <c r="D55" s="117">
        <v>13.4</v>
      </c>
      <c r="E55" s="117">
        <v>14</v>
      </c>
    </row>
    <row r="56" spans="1:5" ht="15" thickBot="1" x14ac:dyDescent="0.4">
      <c r="A56" s="108" t="s">
        <v>156</v>
      </c>
      <c r="B56" s="109"/>
      <c r="D56" s="117">
        <v>14.4</v>
      </c>
      <c r="E56" s="117">
        <v>15</v>
      </c>
    </row>
    <row r="57" spans="1:5" ht="29" x14ac:dyDescent="0.35">
      <c r="A57" s="110" t="s">
        <v>146</v>
      </c>
      <c r="B57" s="111" t="s">
        <v>147</v>
      </c>
      <c r="D57" s="117">
        <v>15.3</v>
      </c>
      <c r="E57" s="117">
        <v>16</v>
      </c>
    </row>
    <row r="58" spans="1:5" ht="14.5" x14ac:dyDescent="0.35">
      <c r="A58" s="118" t="s">
        <v>157</v>
      </c>
      <c r="B58" s="119">
        <v>18000</v>
      </c>
      <c r="D58" s="117">
        <v>16.3</v>
      </c>
      <c r="E58" s="117">
        <v>17</v>
      </c>
    </row>
    <row r="59" spans="1:5" ht="14.5" x14ac:dyDescent="0.35">
      <c r="A59" s="120" t="s">
        <v>158</v>
      </c>
      <c r="B59" s="121">
        <v>21000</v>
      </c>
      <c r="D59" s="117">
        <v>17.3</v>
      </c>
      <c r="E59" s="117">
        <v>18</v>
      </c>
    </row>
    <row r="60" spans="1:5" ht="14.5" x14ac:dyDescent="0.35">
      <c r="A60" s="120" t="s">
        <v>159</v>
      </c>
      <c r="B60" s="121">
        <v>23000</v>
      </c>
      <c r="D60" s="117">
        <v>18.2</v>
      </c>
      <c r="E60" s="117">
        <v>19</v>
      </c>
    </row>
    <row r="61" spans="1:5" ht="15" thickBot="1" x14ac:dyDescent="0.4">
      <c r="A61" s="122" t="s">
        <v>160</v>
      </c>
      <c r="B61" s="123">
        <v>24000</v>
      </c>
      <c r="D61" s="117">
        <v>19.2</v>
      </c>
      <c r="E61" s="117">
        <v>20</v>
      </c>
    </row>
    <row r="62" spans="1:5" ht="15" thickBot="1" x14ac:dyDescent="0.4">
      <c r="A62" s="113" t="s">
        <v>161</v>
      </c>
      <c r="B62" s="114"/>
    </row>
    <row r="63" spans="1:5" ht="15" thickBot="1" x14ac:dyDescent="0.4">
      <c r="A63" s="115" t="s">
        <v>162</v>
      </c>
      <c r="B63" s="116"/>
    </row>
  </sheetData>
  <protectedRanges>
    <protectedRange password="CF31" sqref="A15:D18" name="Range1"/>
    <protectedRange password="CF31" sqref="C41:D41 A41 A37:D38 A40:D40 C39:D39 A39" name="Range1_1"/>
  </protectedRanges>
  <mergeCells count="2">
    <mergeCell ref="D45:E45"/>
    <mergeCell ref="C7:D7"/>
  </mergeCells>
  <dataValidations count="24">
    <dataValidation type="list" allowBlank="1" showInputMessage="1" showErrorMessage="1" promptTitle="Existing Volts" prompt="Enter the amount of volts based on the outlet.  110 volts are used by regular outlets.  220 volts are used by larger ACs." 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xr:uid="{04D9378D-1689-4098-8DD8-C7C98759503E}">
      <formula1>"110, 220"</formula1>
    </dataValidation>
    <dataValidation type="whole" allowBlank="1" showInputMessage="1" showErrorMessage="1" promptTitle="Current Calendar Year" prompt="Enter the current calendar year as of the date of the assessment."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B2858A19-484C-47E2-BF43-303230DF18E6}">
      <formula1>0</formula1>
      <formula2>2099</formula2>
    </dataValidation>
    <dataValidation type="list" allowBlank="1" showInputMessage="1" showErrorMessage="1" sqref="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xr:uid="{51C26718-F422-459C-8807-4C35C206A1F9}">
      <formula1>"LR1, LR2, Kitchen, BR1, BR2, BR3, BR4, Bath1, Bath2, Other"</formula1>
    </dataValidation>
    <dataValidation type="list" allowBlank="1" showInputMessage="1" showErrorMessage="1"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A9E3195E-1946-42CF-AB27-204DCF0EDFF3}">
      <formula1>"Annual Professional Maintenance, Seldom or Never Maintained"</formula1>
    </dataValidation>
    <dataValidation type="whole" allowBlank="1" showInputMessage="1" showErrorMessage="1" promptTitle="Manufactured Year" prompt="Enter the manufactured year as found on the plate of the existing unit.  If the year cannot be found skip this entry and meter the unit._x000a_"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xr:uid="{230FFAAE-890F-415E-92D9-3F5165B08CE7}">
      <formula1>0</formula1>
      <formula2>2099</formula2>
    </dataValidation>
    <dataValidation allowBlank="1" showInputMessage="1" showErrorMessage="1" promptTitle="Time metered of Existing" prompt="Enter time as minutes.  Example (one hour and three minutes = 63).  Minimum time for metering 30 min."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XEY10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EY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EY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EY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EY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EY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EY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EY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EY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EY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EY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EY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EY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EY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EY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XEY983051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CFA740FD-476A-49F7-A99D-1E1E4A2B6698}"/>
    <dataValidation allowBlank="1" showInputMessage="1" showErrorMessage="1" promptTitle="kWh Reading of Existing" prompt="Enter the kWh reading.  Minimum time for metering is 30 minutes." sqref="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XEY11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XEY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XEY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XEY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XEY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XEY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XEY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XEY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XEY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XEY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XEY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XEY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XEY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XEY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XEY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XEY983052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91D7088E-273B-4957-BF7A-D57D32EE1697}"/>
    <dataValidation allowBlank="1" showInputMessage="1" showErrorMessage="1" promptTitle="Utility Costs of Exsisting" prompt="Enter the cost per kWh in your area.  This usually ranges from .06 to .14." sqref="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XEY12 IQ65549 SM65549 ACI65549 AME65549 AWA65549 BFW65549 BPS65549 BZO65549 CJK65549 CTG65549 DDC65549 DMY65549 DWU65549 EGQ65549 EQM65549 FAI65549 FKE65549 FUA65549 GDW65549 GNS65549 GXO65549 HHK65549 HRG65549 IBC65549 IKY65549 IUU65549 JEQ65549 JOM65549 JYI65549 KIE65549 KSA65549 LBW65549 LLS65549 LVO65549 MFK65549 MPG65549 MZC65549 NIY65549 NSU65549 OCQ65549 OMM65549 OWI65549 PGE65549 PQA65549 PZW65549 QJS65549 QTO65549 RDK65549 RNG65549 RXC65549 SGY65549 SQU65549 TAQ65549 TKM65549 TUI65549 UEE65549 UOA65549 UXW65549 VHS65549 VRO65549 WBK65549 WLG65549 WVC65549 XEY65549 IQ131085 SM131085 ACI131085 AME131085 AWA131085 BFW131085 BPS131085 BZO131085 CJK131085 CTG131085 DDC131085 DMY131085 DWU131085 EGQ131085 EQM131085 FAI131085 FKE131085 FUA131085 GDW131085 GNS131085 GXO131085 HHK131085 HRG131085 IBC131085 IKY131085 IUU131085 JEQ131085 JOM131085 JYI131085 KIE131085 KSA131085 LBW131085 LLS131085 LVO131085 MFK131085 MPG131085 MZC131085 NIY131085 NSU131085 OCQ131085 OMM131085 OWI131085 PGE131085 PQA131085 PZW131085 QJS131085 QTO131085 RDK131085 RNG131085 RXC131085 SGY131085 SQU131085 TAQ131085 TKM131085 TUI131085 UEE131085 UOA131085 UXW131085 VHS131085 VRO131085 WBK131085 WLG131085 WVC131085 XEY131085 IQ196621 SM196621 ACI196621 AME196621 AWA196621 BFW196621 BPS196621 BZO196621 CJK196621 CTG196621 DDC196621 DMY196621 DWU196621 EGQ196621 EQM196621 FAI196621 FKE196621 FUA196621 GDW196621 GNS196621 GXO196621 HHK196621 HRG196621 IBC196621 IKY196621 IUU196621 JEQ196621 JOM196621 JYI196621 KIE196621 KSA196621 LBW196621 LLS196621 LVO196621 MFK196621 MPG196621 MZC196621 NIY196621 NSU196621 OCQ196621 OMM196621 OWI196621 PGE196621 PQA196621 PZW196621 QJS196621 QTO196621 RDK196621 RNG196621 RXC196621 SGY196621 SQU196621 TAQ196621 TKM196621 TUI196621 UEE196621 UOA196621 UXW196621 VHS196621 VRO196621 WBK196621 WLG196621 WVC196621 XEY196621 IQ262157 SM262157 ACI262157 AME262157 AWA262157 BFW262157 BPS262157 BZO262157 CJK262157 CTG262157 DDC262157 DMY262157 DWU262157 EGQ262157 EQM262157 FAI262157 FKE262157 FUA262157 GDW262157 GNS262157 GXO262157 HHK262157 HRG262157 IBC262157 IKY262157 IUU262157 JEQ262157 JOM262157 JYI262157 KIE262157 KSA262157 LBW262157 LLS262157 LVO262157 MFK262157 MPG262157 MZC262157 NIY262157 NSU262157 OCQ262157 OMM262157 OWI262157 PGE262157 PQA262157 PZW262157 QJS262157 QTO262157 RDK262157 RNG262157 RXC262157 SGY262157 SQU262157 TAQ262157 TKM262157 TUI262157 UEE262157 UOA262157 UXW262157 VHS262157 VRO262157 WBK262157 WLG262157 WVC262157 XEY262157 IQ327693 SM327693 ACI327693 AME327693 AWA327693 BFW327693 BPS327693 BZO327693 CJK327693 CTG327693 DDC327693 DMY327693 DWU327693 EGQ327693 EQM327693 FAI327693 FKE327693 FUA327693 GDW327693 GNS327693 GXO327693 HHK327693 HRG327693 IBC327693 IKY327693 IUU327693 JEQ327693 JOM327693 JYI327693 KIE327693 KSA327693 LBW327693 LLS327693 LVO327693 MFK327693 MPG327693 MZC327693 NIY327693 NSU327693 OCQ327693 OMM327693 OWI327693 PGE327693 PQA327693 PZW327693 QJS327693 QTO327693 RDK327693 RNG327693 RXC327693 SGY327693 SQU327693 TAQ327693 TKM327693 TUI327693 UEE327693 UOA327693 UXW327693 VHS327693 VRO327693 WBK327693 WLG327693 WVC327693 XEY327693 IQ393229 SM393229 ACI393229 AME393229 AWA393229 BFW393229 BPS393229 BZO393229 CJK393229 CTG393229 DDC393229 DMY393229 DWU393229 EGQ393229 EQM393229 FAI393229 FKE393229 FUA393229 GDW393229 GNS393229 GXO393229 HHK393229 HRG393229 IBC393229 IKY393229 IUU393229 JEQ393229 JOM393229 JYI393229 KIE393229 KSA393229 LBW393229 LLS393229 LVO393229 MFK393229 MPG393229 MZC393229 NIY393229 NSU393229 OCQ393229 OMM393229 OWI393229 PGE393229 PQA393229 PZW393229 QJS393229 QTO393229 RDK393229 RNG393229 RXC393229 SGY393229 SQU393229 TAQ393229 TKM393229 TUI393229 UEE393229 UOA393229 UXW393229 VHS393229 VRO393229 WBK393229 WLG393229 WVC393229 XEY393229 IQ458765 SM458765 ACI458765 AME458765 AWA458765 BFW458765 BPS458765 BZO458765 CJK458765 CTG458765 DDC458765 DMY458765 DWU458765 EGQ458765 EQM458765 FAI458765 FKE458765 FUA458765 GDW458765 GNS458765 GXO458765 HHK458765 HRG458765 IBC458765 IKY458765 IUU458765 JEQ458765 JOM458765 JYI458765 KIE458765 KSA458765 LBW458765 LLS458765 LVO458765 MFK458765 MPG458765 MZC458765 NIY458765 NSU458765 OCQ458765 OMM458765 OWI458765 PGE458765 PQA458765 PZW458765 QJS458765 QTO458765 RDK458765 RNG458765 RXC458765 SGY458765 SQU458765 TAQ458765 TKM458765 TUI458765 UEE458765 UOA458765 UXW458765 VHS458765 VRO458765 WBK458765 WLG458765 WVC458765 XEY458765 IQ524301 SM524301 ACI524301 AME524301 AWA524301 BFW524301 BPS524301 BZO524301 CJK524301 CTG524301 DDC524301 DMY524301 DWU524301 EGQ524301 EQM524301 FAI524301 FKE524301 FUA524301 GDW524301 GNS524301 GXO524301 HHK524301 HRG524301 IBC524301 IKY524301 IUU524301 JEQ524301 JOM524301 JYI524301 KIE524301 KSA524301 LBW524301 LLS524301 LVO524301 MFK524301 MPG524301 MZC524301 NIY524301 NSU524301 OCQ524301 OMM524301 OWI524301 PGE524301 PQA524301 PZW524301 QJS524301 QTO524301 RDK524301 RNG524301 RXC524301 SGY524301 SQU524301 TAQ524301 TKM524301 TUI524301 UEE524301 UOA524301 UXW524301 VHS524301 VRO524301 WBK524301 WLG524301 WVC524301 XEY524301 IQ589837 SM589837 ACI589837 AME589837 AWA589837 BFW589837 BPS589837 BZO589837 CJK589837 CTG589837 DDC589837 DMY589837 DWU589837 EGQ589837 EQM589837 FAI589837 FKE589837 FUA589837 GDW589837 GNS589837 GXO589837 HHK589837 HRG589837 IBC589837 IKY589837 IUU589837 JEQ589837 JOM589837 JYI589837 KIE589837 KSA589837 LBW589837 LLS589837 LVO589837 MFK589837 MPG589837 MZC589837 NIY589837 NSU589837 OCQ589837 OMM589837 OWI589837 PGE589837 PQA589837 PZW589837 QJS589837 QTO589837 RDK589837 RNG589837 RXC589837 SGY589837 SQU589837 TAQ589837 TKM589837 TUI589837 UEE589837 UOA589837 UXW589837 VHS589837 VRO589837 WBK589837 WLG589837 WVC589837 XEY589837 IQ655373 SM655373 ACI655373 AME655373 AWA655373 BFW655373 BPS655373 BZO655373 CJK655373 CTG655373 DDC655373 DMY655373 DWU655373 EGQ655373 EQM655373 FAI655373 FKE655373 FUA655373 GDW655373 GNS655373 GXO655373 HHK655373 HRG655373 IBC655373 IKY655373 IUU655373 JEQ655373 JOM655373 JYI655373 KIE655373 KSA655373 LBW655373 LLS655373 LVO655373 MFK655373 MPG655373 MZC655373 NIY655373 NSU655373 OCQ655373 OMM655373 OWI655373 PGE655373 PQA655373 PZW655373 QJS655373 QTO655373 RDK655373 RNG655373 RXC655373 SGY655373 SQU655373 TAQ655373 TKM655373 TUI655373 UEE655373 UOA655373 UXW655373 VHS655373 VRO655373 WBK655373 WLG655373 WVC655373 XEY655373 IQ720909 SM720909 ACI720909 AME720909 AWA720909 BFW720909 BPS720909 BZO720909 CJK720909 CTG720909 DDC720909 DMY720909 DWU720909 EGQ720909 EQM720909 FAI720909 FKE720909 FUA720909 GDW720909 GNS720909 GXO720909 HHK720909 HRG720909 IBC720909 IKY720909 IUU720909 JEQ720909 JOM720909 JYI720909 KIE720909 KSA720909 LBW720909 LLS720909 LVO720909 MFK720909 MPG720909 MZC720909 NIY720909 NSU720909 OCQ720909 OMM720909 OWI720909 PGE720909 PQA720909 PZW720909 QJS720909 QTO720909 RDK720909 RNG720909 RXC720909 SGY720909 SQU720909 TAQ720909 TKM720909 TUI720909 UEE720909 UOA720909 UXW720909 VHS720909 VRO720909 WBK720909 WLG720909 WVC720909 XEY720909 IQ786445 SM786445 ACI786445 AME786445 AWA786445 BFW786445 BPS786445 BZO786445 CJK786445 CTG786445 DDC786445 DMY786445 DWU786445 EGQ786445 EQM786445 FAI786445 FKE786445 FUA786445 GDW786445 GNS786445 GXO786445 HHK786445 HRG786445 IBC786445 IKY786445 IUU786445 JEQ786445 JOM786445 JYI786445 KIE786445 KSA786445 LBW786445 LLS786445 LVO786445 MFK786445 MPG786445 MZC786445 NIY786445 NSU786445 OCQ786445 OMM786445 OWI786445 PGE786445 PQA786445 PZW786445 QJS786445 QTO786445 RDK786445 RNG786445 RXC786445 SGY786445 SQU786445 TAQ786445 TKM786445 TUI786445 UEE786445 UOA786445 UXW786445 VHS786445 VRO786445 WBK786445 WLG786445 WVC786445 XEY786445 IQ851981 SM851981 ACI851981 AME851981 AWA851981 BFW851981 BPS851981 BZO851981 CJK851981 CTG851981 DDC851981 DMY851981 DWU851981 EGQ851981 EQM851981 FAI851981 FKE851981 FUA851981 GDW851981 GNS851981 GXO851981 HHK851981 HRG851981 IBC851981 IKY851981 IUU851981 JEQ851981 JOM851981 JYI851981 KIE851981 KSA851981 LBW851981 LLS851981 LVO851981 MFK851981 MPG851981 MZC851981 NIY851981 NSU851981 OCQ851981 OMM851981 OWI851981 PGE851981 PQA851981 PZW851981 QJS851981 QTO851981 RDK851981 RNG851981 RXC851981 SGY851981 SQU851981 TAQ851981 TKM851981 TUI851981 UEE851981 UOA851981 UXW851981 VHS851981 VRO851981 WBK851981 WLG851981 WVC851981 XEY851981 IQ917517 SM917517 ACI917517 AME917517 AWA917517 BFW917517 BPS917517 BZO917517 CJK917517 CTG917517 DDC917517 DMY917517 DWU917517 EGQ917517 EQM917517 FAI917517 FKE917517 FUA917517 GDW917517 GNS917517 GXO917517 HHK917517 HRG917517 IBC917517 IKY917517 IUU917517 JEQ917517 JOM917517 JYI917517 KIE917517 KSA917517 LBW917517 LLS917517 LVO917517 MFK917517 MPG917517 MZC917517 NIY917517 NSU917517 OCQ917517 OMM917517 OWI917517 PGE917517 PQA917517 PZW917517 QJS917517 QTO917517 RDK917517 RNG917517 RXC917517 SGY917517 SQU917517 TAQ917517 TKM917517 TUI917517 UEE917517 UOA917517 UXW917517 VHS917517 VRO917517 WBK917517 WLG917517 WVC917517 XEY917517 IQ983053 SM983053 ACI983053 AME983053 AWA983053 BFW983053 BPS983053 BZO983053 CJK983053 CTG983053 DDC983053 DMY983053 DWU983053 EGQ983053 EQM983053 FAI983053 FKE983053 FUA983053 GDW983053 GNS983053 GXO983053 HHK983053 HRG983053 IBC983053 IKY983053 IUU983053 JEQ983053 JOM983053 JYI983053 KIE983053 KSA983053 LBW983053 LLS983053 LVO983053 MFK983053 MPG983053 MZC983053 NIY983053 NSU983053 OCQ983053 OMM983053 OWI983053 PGE983053 PQA983053 PZW983053 QJS983053 QTO983053 RDK983053 RNG983053 RXC983053 SGY983053 SQU983053 TAQ983053 TKM983053 TUI983053 UEE983053 UOA983053 UXW983053 VHS983053 VRO983053 WBK983053 WLG983053 WVC983053 XEY983053 WVJ983053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xr:uid="{585B4F72-8FE4-4CC8-A4D7-7EC8BF86BCF6}"/>
    <dataValidation allowBlank="1" showInputMessage="1" showErrorMessage="1" promptTitle="Annual Usage of Replacement" prompt="Enter the Annual Usage of this unit as found on the (Yellow) Energy Guide. " sqref="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XFA14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XFA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XFA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XFA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XFA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XFA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XFA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XFA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XFA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XFA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XFA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XFA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XFA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XFA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XFA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XFA983055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7A8F4C9C-EC90-4A74-A24D-35820A015232}"/>
    <dataValidation allowBlank="1" showInputMessage="1" showErrorMessage="1" promptTitle="Cost of Replacement" prompt="Replacement cost to include: Window AC unit, labor to install, and recycling of existing unit." sqref="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XFA15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XFA65552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XFA131088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XFA196624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XFA262160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XFA327696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XFA393232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XFA458768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XFA524304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XFA589840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XFA655376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XFA720912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XFA786448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XFA851984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XFA917520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XFA983056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DFDE605A-7594-4552-8E71-F19877AD7DAF}"/>
    <dataValidation allowBlank="1" showInputMessage="1" showErrorMessage="1" prompt="Annual Savings for Replacement"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XFA18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XFA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XFA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XFA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XFA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XFA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XFA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XFA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XFA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XFA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XFA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XFA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XFA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XFA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XFA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XFA983059" xr:uid="{FE46BD9D-F0A8-499D-92A2-CCA741C3EFB5}"/>
    <dataValidation allowBlank="1" showInputMessage="1" showErrorMessage="1" prompt="Expected Life Savings for Replacement"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XFA19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XFA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XFA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XFA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XFA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XFA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XFA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XFA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XFA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XFA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XFA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XFA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XFA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XFA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XFA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FA983060" xr:uid="{3BD0CDE5-CB18-4E86-9858-1684AFBEBAA4}"/>
    <dataValidation allowBlank="1" showInputMessage="1" showErrorMessage="1" promptTitle="Annual Usage of Existing" prompt="This will auto-calculate the annual usage of the existing unit. " sqref="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XEY14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XEY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XEY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XEY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XEY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XEY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XEY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XEY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XEY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XEY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XEY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XEY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XEY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XEY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XEY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XEY983055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30:B31 IX30:IX31 ST30:ST31 ACP30:ACP31 AML30:AML31 AWH30:AWH31 BGD30:BGD31 BPZ30:BPZ31 BZV30:BZV31 CJR30:CJR31 CTN30:CTN31 DDJ30:DDJ31 DNF30:DNF31 DXB30:DXB31 EGX30:EGX31 EQT30:EQT31 FAP30:FAP31 FKL30:FKL31 FUH30:FUH31 GED30:GED31 GNZ30:GNZ31 GXV30:GXV31 HHR30:HHR31 HRN30:HRN31 IBJ30:IBJ31 ILF30:ILF31 IVB30:IVB31 JEX30:JEX31 JOT30:JOT31 JYP30:JYP31 KIL30:KIL31 KSH30:KSH31 LCD30:LCD31 LLZ30:LLZ31 LVV30:LVV31 MFR30:MFR31 MPN30:MPN31 MZJ30:MZJ31 NJF30:NJF31 NTB30:NTB31 OCX30:OCX31 OMT30:OMT31 OWP30:OWP31 PGL30:PGL31 PQH30:PQH31 QAD30:QAD31 QJZ30:QJZ31 QTV30:QTV31 RDR30:RDR31 RNN30:RNN31 RXJ30:RXJ31 SHF30:SHF31 SRB30:SRB31 TAX30:TAX31 TKT30:TKT31 TUP30:TUP31 UEL30:UEL31 UOH30:UOH31 UYD30:UYD31 VHZ30:VHZ31 VRV30:VRV31 WBR30:WBR31 WLN30:WLN31 WVJ30:WVJ31 B65566:B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B131102:B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B196638:B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B262174:B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B327710:B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B393246:B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B458782:B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B524318:B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B589854:B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B655390:B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B720926:B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B786462:B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B851998:B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B917534:B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B983070:B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xr:uid="{49DC21E1-FF52-4393-A7B8-F9B2621DB9AD}"/>
    <dataValidation allowBlank="1" showInputMessage="1" showErrorMessage="1" promptTitle="SIR for Replacement" prompt="The SIR must be ≥ 1 to qualify for replacement."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XFA20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XFA65557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XFA131093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XFA196629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XFA262165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XFA327701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XFA393237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XFA458773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XFA524309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XFA589845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XFA655381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XFA720917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XFA786453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XFA851989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XFA917525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WVE983061 XFA983061" xr:uid="{73533F61-C4B3-4315-87ED-6E42041F2B5F}"/>
    <dataValidation allowBlank="1" showInputMessage="1" showErrorMessage="1" promptTitle="Existing EER" prompt="Enter the EER as found on the plate of the existing unit.  If the EER cannot be found skip this entry and meter the unit._x000a_" sqref="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B1048573 IX1048573 ST1048573 ACP1048573 AML1048573 AWH1048573 BGD1048573 BPZ1048573 BZV1048573 CJR1048573 CTN1048573 DDJ1048573 DNF1048573 DXB1048573 EGX1048573 EQT1048573 FAP1048573 FKL1048573 FUH1048573 GED1048573 GNZ1048573 GXV1048573 HHR1048573 HRN1048573 IBJ1048573 ILF1048573 IVB1048573 JEX1048573 JOT1048573 JYP1048573 KIL1048573 KSH1048573 LCD1048573 LLZ1048573 LVV1048573 MFR1048573 MPN1048573 MZJ1048573 NJF1048573 NTB1048573 OCX1048573 OMT1048573 OWP1048573 PGL1048573 PQH1048573 QAD1048573 QJZ1048573 QTV1048573 RDR1048573 RNN1048573 RXJ1048573 SHF1048573 SRB1048573 TAX1048573 TKT1048573 TUP1048573 UEL1048573 UOH1048573 UYD1048573 VHZ1048573 VRV1048573 WBR1048573 WLN1048573 WVJ1048573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XEY65533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XEY131069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XEY196605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XEY262141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XEY327677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XEY393213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XEY458749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XEY524285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XEY589821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XEY655357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XEY720893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XEY786429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XEY851965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XEY917501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XEY983037 IQ1048573 SM1048573 ACI1048573 AME1048573 AWA1048573 BFW1048573 BPS1048573 BZO1048573 CJK1048573 CTG1048573 DDC1048573 DMY1048573 DWU1048573 EGQ1048573 EQM1048573 FAI1048573 FKE1048573 FUA1048573 GDW1048573 GNS1048573 GXO1048573 HHK1048573 HRG1048573 IBC1048573 IKY1048573 IUU1048573 JEQ1048573 JOM1048573 JYI1048573 KIE1048573 KSA1048573 LBW1048573 LLS1048573 LVO1048573 MFK1048573 MPG1048573 MZC1048573 NIY1048573 NSU1048573 OCQ1048573 OMM1048573 OWI1048573 PGE1048573 PQA1048573 PZW1048573 QJS1048573 QTO1048573 RDK1048573 RNG1048573 RXC1048573 SGY1048573 SQU1048573 TAQ1048573 TKM1048573 TUI1048573 UEE1048573 UOA1048573 UXW1048573 VHS1048573 VRO1048573 WBK1048573 WLG1048573 WVC1048573 XEY104857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xr:uid="{8C581BCE-18DF-4ED2-AD1D-C6D8359D2F07}"/>
    <dataValidation allowBlank="1" showInputMessage="1" showErrorMessage="1" promptTitle="Existing BTUs" prompt="Enter the BTUs if it can be found on the unit.  If it cannot be found the assessor must estimate and take a photo of the unit.  Window units range from 5,000 to 24,000." sqref="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B1048575 IX1048575 ST1048575 ACP1048575 AML1048575 AWH1048575 BGD1048575 BPZ1048575 BZV1048575 CJR1048575 CTN1048575 DDJ1048575 DNF1048575 DXB1048575 EGX1048575 EQT1048575 FAP1048575 FKL1048575 FUH1048575 GED1048575 GNZ1048575 GXV1048575 HHR1048575 HRN1048575 IBJ1048575 ILF1048575 IVB1048575 JEX1048575 JOT1048575 JYP1048575 KIL1048575 KSH1048575 LCD1048575 LLZ1048575 LVV1048575 MFR1048575 MPN1048575 MZJ1048575 NJF1048575 NTB1048575 OCX1048575 OMT1048575 OWP1048575 PGL1048575 PQH1048575 QAD1048575 QJZ1048575 QTV1048575 RDR1048575 RNN1048575 RXJ1048575 SHF1048575 SRB1048575 TAX1048575 TKT1048575 TUP1048575 UEL1048575 UOH1048575 UYD1048575 VHZ1048575 VRV1048575 WBR1048575 WLN1048575 WVJ1048575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XEY65535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XEY131071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XEY196607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XEY262143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XEY327679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XEY393215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XEY458751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XEY524287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XEY589823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XEY655359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XEY720895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XEY786431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XEY851967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XEY917503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XEY983039 IQ1048575 SM1048575 ACI1048575 AME1048575 AWA1048575 BFW1048575 BPS1048575 BZO1048575 CJK1048575 CTG1048575 DDC1048575 DMY1048575 DWU1048575 EGQ1048575 EQM1048575 FAI1048575 FKE1048575 FUA1048575 GDW1048575 GNS1048575 GXO1048575 HHK1048575 HRG1048575 IBC1048575 IKY1048575 IUU1048575 JEQ1048575 JOM1048575 JYI1048575 KIE1048575 KSA1048575 LBW1048575 LLS1048575 LVO1048575 MFK1048575 MPG1048575 MZC1048575 NIY1048575 NSU1048575 OCQ1048575 OMM1048575 OWI1048575 PGE1048575 PQA1048575 PZW1048575 QJS1048575 QTO1048575 RDK1048575 RNG1048575 RXC1048575 SGY1048575 SQU1048575 TAQ1048575 TKM1048575 TUI1048575 UEE1048575 UOA1048575 UXW1048575 VHS1048575 VRO1048575 WBK1048575 WLG1048575 WVC1048575 XEY1048575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xr:uid="{74EEC545-0DD0-47F0-8F3E-B8810428E14D}"/>
    <dataValidation allowBlank="1" showInputMessage="1" showErrorMessage="1" promptTitle="Existing Amps" prompt="Enter the amps found on the plate.  If the amps cannot be found enter the amps reading using a comsuption meter or amp meter." sqref="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Q65537 SM65537 ACI65537 AME65537 AWA65537 BFW65537 BPS65537 BZO65537 CJK65537 CTG65537 DDC65537 DMY65537 DWU65537 EGQ65537 EQM65537 FAI65537 FKE65537 FUA65537 GDW65537 GNS65537 GXO65537 HHK65537 HRG65537 IBC65537 IKY65537 IUU65537 JEQ65537 JOM65537 JYI65537 KIE65537 KSA65537 LBW65537 LLS65537 LVO65537 MFK65537 MPG65537 MZC65537 NIY65537 NSU65537 OCQ65537 OMM65537 OWI65537 PGE65537 PQA65537 PZW65537 QJS65537 QTO65537 RDK65537 RNG65537 RXC65537 SGY65537 SQU65537 TAQ65537 TKM65537 TUI65537 UEE65537 UOA65537 UXW65537 VHS65537 VRO65537 WBK65537 WLG65537 WVC65537 XEY65537 IQ131073 SM131073 ACI131073 AME131073 AWA131073 BFW131073 BPS131073 BZO131073 CJK131073 CTG131073 DDC131073 DMY131073 DWU131073 EGQ131073 EQM131073 FAI131073 FKE131073 FUA131073 GDW131073 GNS131073 GXO131073 HHK131073 HRG131073 IBC131073 IKY131073 IUU131073 JEQ131073 JOM131073 JYI131073 KIE131073 KSA131073 LBW131073 LLS131073 LVO131073 MFK131073 MPG131073 MZC131073 NIY131073 NSU131073 OCQ131073 OMM131073 OWI131073 PGE131073 PQA131073 PZW131073 QJS131073 QTO131073 RDK131073 RNG131073 RXC131073 SGY131073 SQU131073 TAQ131073 TKM131073 TUI131073 UEE131073 UOA131073 UXW131073 VHS131073 VRO131073 WBK131073 WLG131073 WVC131073 XEY131073 IQ196609 SM196609 ACI196609 AME196609 AWA196609 BFW196609 BPS196609 BZO196609 CJK196609 CTG196609 DDC196609 DMY196609 DWU196609 EGQ196609 EQM196609 FAI196609 FKE196609 FUA196609 GDW196609 GNS196609 GXO196609 HHK196609 HRG196609 IBC196609 IKY196609 IUU196609 JEQ196609 JOM196609 JYI196609 KIE196609 KSA196609 LBW196609 LLS196609 LVO196609 MFK196609 MPG196609 MZC196609 NIY196609 NSU196609 OCQ196609 OMM196609 OWI196609 PGE196609 PQA196609 PZW196609 QJS196609 QTO196609 RDK196609 RNG196609 RXC196609 SGY196609 SQU196609 TAQ196609 TKM196609 TUI196609 UEE196609 UOA196609 UXW196609 VHS196609 VRO196609 WBK196609 WLG196609 WVC196609 XEY196609 IQ262145 SM262145 ACI262145 AME262145 AWA262145 BFW262145 BPS262145 BZO262145 CJK262145 CTG262145 DDC262145 DMY262145 DWU262145 EGQ262145 EQM262145 FAI262145 FKE262145 FUA262145 GDW262145 GNS262145 GXO262145 HHK262145 HRG262145 IBC262145 IKY262145 IUU262145 JEQ262145 JOM262145 JYI262145 KIE262145 KSA262145 LBW262145 LLS262145 LVO262145 MFK262145 MPG262145 MZC262145 NIY262145 NSU262145 OCQ262145 OMM262145 OWI262145 PGE262145 PQA262145 PZW262145 QJS262145 QTO262145 RDK262145 RNG262145 RXC262145 SGY262145 SQU262145 TAQ262145 TKM262145 TUI262145 UEE262145 UOA262145 UXW262145 VHS262145 VRO262145 WBK262145 WLG262145 WVC262145 XEY262145 IQ327681 SM327681 ACI327681 AME327681 AWA327681 BFW327681 BPS327681 BZO327681 CJK327681 CTG327681 DDC327681 DMY327681 DWU327681 EGQ327681 EQM327681 FAI327681 FKE327681 FUA327681 GDW327681 GNS327681 GXO327681 HHK327681 HRG327681 IBC327681 IKY327681 IUU327681 JEQ327681 JOM327681 JYI327681 KIE327681 KSA327681 LBW327681 LLS327681 LVO327681 MFK327681 MPG327681 MZC327681 NIY327681 NSU327681 OCQ327681 OMM327681 OWI327681 PGE327681 PQA327681 PZW327681 QJS327681 QTO327681 RDK327681 RNG327681 RXC327681 SGY327681 SQU327681 TAQ327681 TKM327681 TUI327681 UEE327681 UOA327681 UXW327681 VHS327681 VRO327681 WBK327681 WLG327681 WVC327681 XEY327681 IQ393217 SM393217 ACI393217 AME393217 AWA393217 BFW393217 BPS393217 BZO393217 CJK393217 CTG393217 DDC393217 DMY393217 DWU393217 EGQ393217 EQM393217 FAI393217 FKE393217 FUA393217 GDW393217 GNS393217 GXO393217 HHK393217 HRG393217 IBC393217 IKY393217 IUU393217 JEQ393217 JOM393217 JYI393217 KIE393217 KSA393217 LBW393217 LLS393217 LVO393217 MFK393217 MPG393217 MZC393217 NIY393217 NSU393217 OCQ393217 OMM393217 OWI393217 PGE393217 PQA393217 PZW393217 QJS393217 QTO393217 RDK393217 RNG393217 RXC393217 SGY393217 SQU393217 TAQ393217 TKM393217 TUI393217 UEE393217 UOA393217 UXW393217 VHS393217 VRO393217 WBK393217 WLG393217 WVC393217 XEY393217 IQ458753 SM458753 ACI458753 AME458753 AWA458753 BFW458753 BPS458753 BZO458753 CJK458753 CTG458753 DDC458753 DMY458753 DWU458753 EGQ458753 EQM458753 FAI458753 FKE458753 FUA458753 GDW458753 GNS458753 GXO458753 HHK458753 HRG458753 IBC458753 IKY458753 IUU458753 JEQ458753 JOM458753 JYI458753 KIE458753 KSA458753 LBW458753 LLS458753 LVO458753 MFK458753 MPG458753 MZC458753 NIY458753 NSU458753 OCQ458753 OMM458753 OWI458753 PGE458753 PQA458753 PZW458753 QJS458753 QTO458753 RDK458753 RNG458753 RXC458753 SGY458753 SQU458753 TAQ458753 TKM458753 TUI458753 UEE458753 UOA458753 UXW458753 VHS458753 VRO458753 WBK458753 WLG458753 WVC458753 XEY458753 IQ524289 SM524289 ACI524289 AME524289 AWA524289 BFW524289 BPS524289 BZO524289 CJK524289 CTG524289 DDC524289 DMY524289 DWU524289 EGQ524289 EQM524289 FAI524289 FKE524289 FUA524289 GDW524289 GNS524289 GXO524289 HHK524289 HRG524289 IBC524289 IKY524289 IUU524289 JEQ524289 JOM524289 JYI524289 KIE524289 KSA524289 LBW524289 LLS524289 LVO524289 MFK524289 MPG524289 MZC524289 NIY524289 NSU524289 OCQ524289 OMM524289 OWI524289 PGE524289 PQA524289 PZW524289 QJS524289 QTO524289 RDK524289 RNG524289 RXC524289 SGY524289 SQU524289 TAQ524289 TKM524289 TUI524289 UEE524289 UOA524289 UXW524289 VHS524289 VRO524289 WBK524289 WLG524289 WVC524289 XEY524289 IQ589825 SM589825 ACI589825 AME589825 AWA589825 BFW589825 BPS589825 BZO589825 CJK589825 CTG589825 DDC589825 DMY589825 DWU589825 EGQ589825 EQM589825 FAI589825 FKE589825 FUA589825 GDW589825 GNS589825 GXO589825 HHK589825 HRG589825 IBC589825 IKY589825 IUU589825 JEQ589825 JOM589825 JYI589825 KIE589825 KSA589825 LBW589825 LLS589825 LVO589825 MFK589825 MPG589825 MZC589825 NIY589825 NSU589825 OCQ589825 OMM589825 OWI589825 PGE589825 PQA589825 PZW589825 QJS589825 QTO589825 RDK589825 RNG589825 RXC589825 SGY589825 SQU589825 TAQ589825 TKM589825 TUI589825 UEE589825 UOA589825 UXW589825 VHS589825 VRO589825 WBK589825 WLG589825 WVC589825 XEY589825 IQ655361 SM655361 ACI655361 AME655361 AWA655361 BFW655361 BPS655361 BZO655361 CJK655361 CTG655361 DDC655361 DMY655361 DWU655361 EGQ655361 EQM655361 FAI655361 FKE655361 FUA655361 GDW655361 GNS655361 GXO655361 HHK655361 HRG655361 IBC655361 IKY655361 IUU655361 JEQ655361 JOM655361 JYI655361 KIE655361 KSA655361 LBW655361 LLS655361 LVO655361 MFK655361 MPG655361 MZC655361 NIY655361 NSU655361 OCQ655361 OMM655361 OWI655361 PGE655361 PQA655361 PZW655361 QJS655361 QTO655361 RDK655361 RNG655361 RXC655361 SGY655361 SQU655361 TAQ655361 TKM655361 TUI655361 UEE655361 UOA655361 UXW655361 VHS655361 VRO655361 WBK655361 WLG655361 WVC655361 XEY655361 IQ720897 SM720897 ACI720897 AME720897 AWA720897 BFW720897 BPS720897 BZO720897 CJK720897 CTG720897 DDC720897 DMY720897 DWU720897 EGQ720897 EQM720897 FAI720897 FKE720897 FUA720897 GDW720897 GNS720897 GXO720897 HHK720897 HRG720897 IBC720897 IKY720897 IUU720897 JEQ720897 JOM720897 JYI720897 KIE720897 KSA720897 LBW720897 LLS720897 LVO720897 MFK720897 MPG720897 MZC720897 NIY720897 NSU720897 OCQ720897 OMM720897 OWI720897 PGE720897 PQA720897 PZW720897 QJS720897 QTO720897 RDK720897 RNG720897 RXC720897 SGY720897 SQU720897 TAQ720897 TKM720897 TUI720897 UEE720897 UOA720897 UXW720897 VHS720897 VRO720897 WBK720897 WLG720897 WVC720897 XEY720897 IQ786433 SM786433 ACI786433 AME786433 AWA786433 BFW786433 BPS786433 BZO786433 CJK786433 CTG786433 DDC786433 DMY786433 DWU786433 EGQ786433 EQM786433 FAI786433 FKE786433 FUA786433 GDW786433 GNS786433 GXO786433 HHK786433 HRG786433 IBC786433 IKY786433 IUU786433 JEQ786433 JOM786433 JYI786433 KIE786433 KSA786433 LBW786433 LLS786433 LVO786433 MFK786433 MPG786433 MZC786433 NIY786433 NSU786433 OCQ786433 OMM786433 OWI786433 PGE786433 PQA786433 PZW786433 QJS786433 QTO786433 RDK786433 RNG786433 RXC786433 SGY786433 SQU786433 TAQ786433 TKM786433 TUI786433 UEE786433 UOA786433 UXW786433 VHS786433 VRO786433 WBK786433 WLG786433 WVC786433 XEY786433 IQ851969 SM851969 ACI851969 AME851969 AWA851969 BFW851969 BPS851969 BZO851969 CJK851969 CTG851969 DDC851969 DMY851969 DWU851969 EGQ851969 EQM851969 FAI851969 FKE851969 FUA851969 GDW851969 GNS851969 GXO851969 HHK851969 HRG851969 IBC851969 IKY851969 IUU851969 JEQ851969 JOM851969 JYI851969 KIE851969 KSA851969 LBW851969 LLS851969 LVO851969 MFK851969 MPG851969 MZC851969 NIY851969 NSU851969 OCQ851969 OMM851969 OWI851969 PGE851969 PQA851969 PZW851969 QJS851969 QTO851969 RDK851969 RNG851969 RXC851969 SGY851969 SQU851969 TAQ851969 TKM851969 TUI851969 UEE851969 UOA851969 UXW851969 VHS851969 VRO851969 WBK851969 WLG851969 WVC851969 XEY851969 IQ917505 SM917505 ACI917505 AME917505 AWA917505 BFW917505 BPS917505 BZO917505 CJK917505 CTG917505 DDC917505 DMY917505 DWU917505 EGQ917505 EQM917505 FAI917505 FKE917505 FUA917505 GDW917505 GNS917505 GXO917505 HHK917505 HRG917505 IBC917505 IKY917505 IUU917505 JEQ917505 JOM917505 JYI917505 KIE917505 KSA917505 LBW917505 LLS917505 LVO917505 MFK917505 MPG917505 MZC917505 NIY917505 NSU917505 OCQ917505 OMM917505 OWI917505 PGE917505 PQA917505 PZW917505 QJS917505 QTO917505 RDK917505 RNG917505 RXC917505 SGY917505 SQU917505 TAQ917505 TKM917505 TUI917505 UEE917505 UOA917505 UXW917505 VHS917505 VRO917505 WBK917505 WLG917505 WVC917505 XEY917505 IQ983041 SM983041 ACI983041 AME983041 AWA983041 BFW983041 BPS983041 BZO983041 CJK983041 CTG983041 DDC983041 DMY983041 DWU983041 EGQ983041 EQM983041 FAI983041 FKE983041 FUA983041 GDW983041 GNS983041 GXO983041 HHK983041 HRG983041 IBC983041 IKY983041 IUU983041 JEQ983041 JOM983041 JYI983041 KIE983041 KSA983041 LBW983041 LLS983041 LVO983041 MFK983041 MPG983041 MZC983041 NIY983041 NSU983041 OCQ983041 OMM983041 OWI983041 PGE983041 PQA983041 PZW983041 QJS983041 QTO983041 RDK983041 RNG983041 RXC983041 SGY983041 SQU983041 TAQ983041 TKM983041 TUI983041 UEE983041 UOA983041 UXW983041 VHS983041 VRO983041 WBK983041 WLG983041 WVC983041 XEY98304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xr:uid="{61E607DE-A47E-4C99-B732-437A6859E918}"/>
    <dataValidation allowBlank="1" showInputMessage="1" showErrorMessage="1" prompt="% EER increase using plate"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xr:uid="{085AF0D2-552D-4AA9-BADC-37575EF7D7D0}"/>
    <dataValidation allowBlank="1" showInputMessage="1" showErrorMessage="1" promptTitle="Replacement EER" prompt="Enter the EER found on the (Yellow) Energy Guide of the new replacement unit." sqref="XFB1048573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IT65533 SP65533 ACL65533 AMH65533 AWD65533 BFZ65533 BPV65533 BZR65533 CJN65533 CTJ65533 DDF65533 DNB65533 DWX65533 EGT65533 EQP65533 FAL65533 FKH65533 FUD65533 GDZ65533 GNV65533 GXR65533 HHN65533 HRJ65533 IBF65533 ILB65533 IUX65533 JET65533 JOP65533 JYL65533 KIH65533 KSD65533 LBZ65533 LLV65533 LVR65533 MFN65533 MPJ65533 MZF65533 NJB65533 NSX65533 OCT65533 OMP65533 OWL65533 PGH65533 PQD65533 PZZ65533 QJV65533 QTR65533 RDN65533 RNJ65533 RXF65533 SHB65533 SQX65533 TAT65533 TKP65533 TUL65533 UEH65533 UOD65533 UXZ65533 VHV65533 VRR65533 WBN65533 WLJ65533 WVF65533 XFB65533 IT131069 SP131069 ACL131069 AMH131069 AWD131069 BFZ131069 BPV131069 BZR131069 CJN131069 CTJ131069 DDF131069 DNB131069 DWX131069 EGT131069 EQP131069 FAL131069 FKH131069 FUD131069 GDZ131069 GNV131069 GXR131069 HHN131069 HRJ131069 IBF131069 ILB131069 IUX131069 JET131069 JOP131069 JYL131069 KIH131069 KSD131069 LBZ131069 LLV131069 LVR131069 MFN131069 MPJ131069 MZF131069 NJB131069 NSX131069 OCT131069 OMP131069 OWL131069 PGH131069 PQD131069 PZZ131069 QJV131069 QTR131069 RDN131069 RNJ131069 RXF131069 SHB131069 SQX131069 TAT131069 TKP131069 TUL131069 UEH131069 UOD131069 UXZ131069 VHV131069 VRR131069 WBN131069 WLJ131069 WVF131069 XFB131069 IT196605 SP196605 ACL196605 AMH196605 AWD196605 BFZ196605 BPV196605 BZR196605 CJN196605 CTJ196605 DDF196605 DNB196605 DWX196605 EGT196605 EQP196605 FAL196605 FKH196605 FUD196605 GDZ196605 GNV196605 GXR196605 HHN196605 HRJ196605 IBF196605 ILB196605 IUX196605 JET196605 JOP196605 JYL196605 KIH196605 KSD196605 LBZ196605 LLV196605 LVR196605 MFN196605 MPJ196605 MZF196605 NJB196605 NSX196605 OCT196605 OMP196605 OWL196605 PGH196605 PQD196605 PZZ196605 QJV196605 QTR196605 RDN196605 RNJ196605 RXF196605 SHB196605 SQX196605 TAT196605 TKP196605 TUL196605 UEH196605 UOD196605 UXZ196605 VHV196605 VRR196605 WBN196605 WLJ196605 WVF196605 XFB196605 IT262141 SP262141 ACL262141 AMH262141 AWD262141 BFZ262141 BPV262141 BZR262141 CJN262141 CTJ262141 DDF262141 DNB262141 DWX262141 EGT262141 EQP262141 FAL262141 FKH262141 FUD262141 GDZ262141 GNV262141 GXR262141 HHN262141 HRJ262141 IBF262141 ILB262141 IUX262141 JET262141 JOP262141 JYL262141 KIH262141 KSD262141 LBZ262141 LLV262141 LVR262141 MFN262141 MPJ262141 MZF262141 NJB262141 NSX262141 OCT262141 OMP262141 OWL262141 PGH262141 PQD262141 PZZ262141 QJV262141 QTR262141 RDN262141 RNJ262141 RXF262141 SHB262141 SQX262141 TAT262141 TKP262141 TUL262141 UEH262141 UOD262141 UXZ262141 VHV262141 VRR262141 WBN262141 WLJ262141 WVF262141 XFB262141 IT327677 SP327677 ACL327677 AMH327677 AWD327677 BFZ327677 BPV327677 BZR327677 CJN327677 CTJ327677 DDF327677 DNB327677 DWX327677 EGT327677 EQP327677 FAL327677 FKH327677 FUD327677 GDZ327677 GNV327677 GXR327677 HHN327677 HRJ327677 IBF327677 ILB327677 IUX327677 JET327677 JOP327677 JYL327677 KIH327677 KSD327677 LBZ327677 LLV327677 LVR327677 MFN327677 MPJ327677 MZF327677 NJB327677 NSX327677 OCT327677 OMP327677 OWL327677 PGH327677 PQD327677 PZZ327677 QJV327677 QTR327677 RDN327677 RNJ327677 RXF327677 SHB327677 SQX327677 TAT327677 TKP327677 TUL327677 UEH327677 UOD327677 UXZ327677 VHV327677 VRR327677 WBN327677 WLJ327677 WVF327677 XFB327677 IT393213 SP393213 ACL393213 AMH393213 AWD393213 BFZ393213 BPV393213 BZR393213 CJN393213 CTJ393213 DDF393213 DNB393213 DWX393213 EGT393213 EQP393213 FAL393213 FKH393213 FUD393213 GDZ393213 GNV393213 GXR393213 HHN393213 HRJ393213 IBF393213 ILB393213 IUX393213 JET393213 JOP393213 JYL393213 KIH393213 KSD393213 LBZ393213 LLV393213 LVR393213 MFN393213 MPJ393213 MZF393213 NJB393213 NSX393213 OCT393213 OMP393213 OWL393213 PGH393213 PQD393213 PZZ393213 QJV393213 QTR393213 RDN393213 RNJ393213 RXF393213 SHB393213 SQX393213 TAT393213 TKP393213 TUL393213 UEH393213 UOD393213 UXZ393213 VHV393213 VRR393213 WBN393213 WLJ393213 WVF393213 XFB393213 IT458749 SP458749 ACL458749 AMH458749 AWD458749 BFZ458749 BPV458749 BZR458749 CJN458749 CTJ458749 DDF458749 DNB458749 DWX458749 EGT458749 EQP458749 FAL458749 FKH458749 FUD458749 GDZ458749 GNV458749 GXR458749 HHN458749 HRJ458749 IBF458749 ILB458749 IUX458749 JET458749 JOP458749 JYL458749 KIH458749 KSD458749 LBZ458749 LLV458749 LVR458749 MFN458749 MPJ458749 MZF458749 NJB458749 NSX458749 OCT458749 OMP458749 OWL458749 PGH458749 PQD458749 PZZ458749 QJV458749 QTR458749 RDN458749 RNJ458749 RXF458749 SHB458749 SQX458749 TAT458749 TKP458749 TUL458749 UEH458749 UOD458749 UXZ458749 VHV458749 VRR458749 WBN458749 WLJ458749 WVF458749 XFB458749 IT524285 SP524285 ACL524285 AMH524285 AWD524285 BFZ524285 BPV524285 BZR524285 CJN524285 CTJ524285 DDF524285 DNB524285 DWX524285 EGT524285 EQP524285 FAL524285 FKH524285 FUD524285 GDZ524285 GNV524285 GXR524285 HHN524285 HRJ524285 IBF524285 ILB524285 IUX524285 JET524285 JOP524285 JYL524285 KIH524285 KSD524285 LBZ524285 LLV524285 LVR524285 MFN524285 MPJ524285 MZF524285 NJB524285 NSX524285 OCT524285 OMP524285 OWL524285 PGH524285 PQD524285 PZZ524285 QJV524285 QTR524285 RDN524285 RNJ524285 RXF524285 SHB524285 SQX524285 TAT524285 TKP524285 TUL524285 UEH524285 UOD524285 UXZ524285 VHV524285 VRR524285 WBN524285 WLJ524285 WVF524285 XFB524285 IT589821 SP589821 ACL589821 AMH589821 AWD589821 BFZ589821 BPV589821 BZR589821 CJN589821 CTJ589821 DDF589821 DNB589821 DWX589821 EGT589821 EQP589821 FAL589821 FKH589821 FUD589821 GDZ589821 GNV589821 GXR589821 HHN589821 HRJ589821 IBF589821 ILB589821 IUX589821 JET589821 JOP589821 JYL589821 KIH589821 KSD589821 LBZ589821 LLV589821 LVR589821 MFN589821 MPJ589821 MZF589821 NJB589821 NSX589821 OCT589821 OMP589821 OWL589821 PGH589821 PQD589821 PZZ589821 QJV589821 QTR589821 RDN589821 RNJ589821 RXF589821 SHB589821 SQX589821 TAT589821 TKP589821 TUL589821 UEH589821 UOD589821 UXZ589821 VHV589821 VRR589821 WBN589821 WLJ589821 WVF589821 XFB589821 IT655357 SP655357 ACL655357 AMH655357 AWD655357 BFZ655357 BPV655357 BZR655357 CJN655357 CTJ655357 DDF655357 DNB655357 DWX655357 EGT655357 EQP655357 FAL655357 FKH655357 FUD655357 GDZ655357 GNV655357 GXR655357 HHN655357 HRJ655357 IBF655357 ILB655357 IUX655357 JET655357 JOP655357 JYL655357 KIH655357 KSD655357 LBZ655357 LLV655357 LVR655357 MFN655357 MPJ655357 MZF655357 NJB655357 NSX655357 OCT655357 OMP655357 OWL655357 PGH655357 PQD655357 PZZ655357 QJV655357 QTR655357 RDN655357 RNJ655357 RXF655357 SHB655357 SQX655357 TAT655357 TKP655357 TUL655357 UEH655357 UOD655357 UXZ655357 VHV655357 VRR655357 WBN655357 WLJ655357 WVF655357 XFB655357 IT720893 SP720893 ACL720893 AMH720893 AWD720893 BFZ720893 BPV720893 BZR720893 CJN720893 CTJ720893 DDF720893 DNB720893 DWX720893 EGT720893 EQP720893 FAL720893 FKH720893 FUD720893 GDZ720893 GNV720893 GXR720893 HHN720893 HRJ720893 IBF720893 ILB720893 IUX720893 JET720893 JOP720893 JYL720893 KIH720893 KSD720893 LBZ720893 LLV720893 LVR720893 MFN720893 MPJ720893 MZF720893 NJB720893 NSX720893 OCT720893 OMP720893 OWL720893 PGH720893 PQD720893 PZZ720893 QJV720893 QTR720893 RDN720893 RNJ720893 RXF720893 SHB720893 SQX720893 TAT720893 TKP720893 TUL720893 UEH720893 UOD720893 UXZ720893 VHV720893 VRR720893 WBN720893 WLJ720893 WVF720893 XFB720893 IT786429 SP786429 ACL786429 AMH786429 AWD786429 BFZ786429 BPV786429 BZR786429 CJN786429 CTJ786429 DDF786429 DNB786429 DWX786429 EGT786429 EQP786429 FAL786429 FKH786429 FUD786429 GDZ786429 GNV786429 GXR786429 HHN786429 HRJ786429 IBF786429 ILB786429 IUX786429 JET786429 JOP786429 JYL786429 KIH786429 KSD786429 LBZ786429 LLV786429 LVR786429 MFN786429 MPJ786429 MZF786429 NJB786429 NSX786429 OCT786429 OMP786429 OWL786429 PGH786429 PQD786429 PZZ786429 QJV786429 QTR786429 RDN786429 RNJ786429 RXF786429 SHB786429 SQX786429 TAT786429 TKP786429 TUL786429 UEH786429 UOD786429 UXZ786429 VHV786429 VRR786429 WBN786429 WLJ786429 WVF786429 XFB786429 IT851965 SP851965 ACL851965 AMH851965 AWD851965 BFZ851965 BPV851965 BZR851965 CJN851965 CTJ851965 DDF851965 DNB851965 DWX851965 EGT851965 EQP851965 FAL851965 FKH851965 FUD851965 GDZ851965 GNV851965 GXR851965 HHN851965 HRJ851965 IBF851965 ILB851965 IUX851965 JET851965 JOP851965 JYL851965 KIH851965 KSD851965 LBZ851965 LLV851965 LVR851965 MFN851965 MPJ851965 MZF851965 NJB851965 NSX851965 OCT851965 OMP851965 OWL851965 PGH851965 PQD851965 PZZ851965 QJV851965 QTR851965 RDN851965 RNJ851965 RXF851965 SHB851965 SQX851965 TAT851965 TKP851965 TUL851965 UEH851965 UOD851965 UXZ851965 VHV851965 VRR851965 WBN851965 WLJ851965 WVF851965 XFB851965 IT917501 SP917501 ACL917501 AMH917501 AWD917501 BFZ917501 BPV917501 BZR917501 CJN917501 CTJ917501 DDF917501 DNB917501 DWX917501 EGT917501 EQP917501 FAL917501 FKH917501 FUD917501 GDZ917501 GNV917501 GXR917501 HHN917501 HRJ917501 IBF917501 ILB917501 IUX917501 JET917501 JOP917501 JYL917501 KIH917501 KSD917501 LBZ917501 LLV917501 LVR917501 MFN917501 MPJ917501 MZF917501 NJB917501 NSX917501 OCT917501 OMP917501 OWL917501 PGH917501 PQD917501 PZZ917501 QJV917501 QTR917501 RDN917501 RNJ917501 RXF917501 SHB917501 SQX917501 TAT917501 TKP917501 TUL917501 UEH917501 UOD917501 UXZ917501 VHV917501 VRR917501 WBN917501 WLJ917501 WVF917501 XFB917501 IT983037 SP983037 ACL983037 AMH983037 AWD983037 BFZ983037 BPV983037 BZR983037 CJN983037 CTJ983037 DDF983037 DNB983037 DWX983037 EGT983037 EQP983037 FAL983037 FKH983037 FUD983037 GDZ983037 GNV983037 GXR983037 HHN983037 HRJ983037 IBF983037 ILB983037 IUX983037 JET983037 JOP983037 JYL983037 KIH983037 KSD983037 LBZ983037 LLV983037 LVR983037 MFN983037 MPJ983037 MZF983037 NJB983037 NSX983037 OCT983037 OMP983037 OWL983037 PGH983037 PQD983037 PZZ983037 QJV983037 QTR983037 RDN983037 RNJ983037 RXF983037 SHB983037 SQX983037 TAT983037 TKP983037 TUL983037 UEH983037 UOD983037 UXZ983037 VHV983037 VRR983037 WBN983037 WLJ983037 WVF983037 XFB983037 IT1048573 SP1048573 ACL1048573 AMH1048573 AWD1048573 BFZ1048573 BPV1048573 BZR1048573 CJN1048573 CTJ1048573 DDF1048573 DNB1048573 DWX1048573 EGT1048573 EQP1048573 FAL1048573 FKH1048573 FUD1048573 GDZ1048573 GNV1048573 GXR1048573 HHN1048573 HRJ1048573 IBF1048573 ILB1048573 IUX1048573 JET1048573 JOP1048573 JYL1048573 KIH1048573 KSD1048573 LBZ1048573 LLV1048573 LVR1048573 MFN1048573 MPJ1048573 MZF1048573 NJB1048573 NSX1048573 OCT1048573 OMP1048573 OWL1048573 PGH1048573 PQD1048573 PZZ1048573 QJV1048573 QTR1048573 RDN1048573 RNJ1048573 RXF1048573 SHB1048573 SQX1048573 TAT1048573 TKP1048573 TUL1048573 UEH1048573 UOD1048573 UXZ1048573 VHV1048573 VRR1048573 WBN1048573 WLJ1048573 WVF1048573" xr:uid="{1855515F-9A59-4EB5-A943-11AFB25C068F}"/>
    <dataValidation allowBlank="1" showInputMessage="1" showErrorMessage="1" prompt="% decrease using amps"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xr:uid="{9AA5E05D-8714-42E8-BC56-78F21144F298}"/>
    <dataValidation allowBlank="1" showInputMessage="1" showErrorMessage="1" prompt="Enter Client's Name"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41288BC2-DD58-4073-BA0F-1C3DFCA84B58}"/>
    <dataValidation allowBlank="1" showInputMessage="1" showErrorMessage="1" promptTitle="Job Number" prompt="Enter the job number/client ID/audit number for this client.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1B883557-85AC-40E9-A986-D35EE23DF410}"/>
    <dataValidation allowBlank="1" showInputMessage="1" showErrorMessage="1" promptTitle="Replacement EER/EER2" prompt="Enter the EER found on the (Yellow) Energy Guide of the new replacement unit._x000a_If the new unit has EER2 rating, use the table below to find the applicable EER2 and input the applicable EER." sqref="D27" xr:uid="{D83A3D62-DDCD-4180-8753-6D89647C5662}"/>
    <dataValidation allowBlank="1" showInputMessage="1" showErrorMessage="1" promptTitle="Statewide Average" prompt="Enter the Statewide Average from your Fuel Cost Library within the Weatherization Assistant v10 for the applicable Program Year. " sqref="B12" xr:uid="{B7E9F3FF-0961-46F7-A8B7-13BE172252CE}"/>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7"/>
  <sheetViews>
    <sheetView workbookViewId="0">
      <selection activeCell="A7" sqref="A7"/>
    </sheetView>
  </sheetViews>
  <sheetFormatPr defaultRowHeight="14.5" x14ac:dyDescent="0.35"/>
  <cols>
    <col min="8" max="8" width="12" bestFit="1" customWidth="1"/>
    <col min="9" max="9" width="15.1796875" bestFit="1" customWidth="1"/>
  </cols>
  <sheetData>
    <row r="1" spans="1:10" x14ac:dyDescent="0.35">
      <c r="A1" t="s">
        <v>86</v>
      </c>
    </row>
    <row r="3" spans="1:10" x14ac:dyDescent="0.35">
      <c r="A3" s="19"/>
    </row>
    <row r="4" spans="1:10" x14ac:dyDescent="0.35">
      <c r="I4" s="17" t="s">
        <v>85</v>
      </c>
      <c r="J4" s="17" t="s">
        <v>96</v>
      </c>
    </row>
    <row r="5" spans="1:10" x14ac:dyDescent="0.35">
      <c r="H5" s="17" t="e">
        <f>#REF!</f>
        <v>#REF!</v>
      </c>
      <c r="I5" s="18" t="e">
        <f>IF(H5&gt;0,H5,IF(#REF!="Electric Resistance Furnace","N/A",IF(#REF!="Gas Furnace","N/A","")))</f>
        <v>#REF!</v>
      </c>
      <c r="J5" s="16" t="e">
        <f>IF(#REF!&gt;1,#REF!,"")</f>
        <v>#REF!</v>
      </c>
    </row>
    <row r="6" spans="1:10" s="17" customFormat="1" x14ac:dyDescent="0.35">
      <c r="A6" s="17" t="s">
        <v>87</v>
      </c>
      <c r="B6" s="17" t="s">
        <v>88</v>
      </c>
      <c r="C6" s="17" t="s">
        <v>89</v>
      </c>
      <c r="D6" s="17" t="s">
        <v>90</v>
      </c>
      <c r="E6" s="17" t="s">
        <v>91</v>
      </c>
      <c r="F6" s="17" t="s">
        <v>92</v>
      </c>
      <c r="G6" s="17" t="s">
        <v>93</v>
      </c>
      <c r="H6" s="17" t="s">
        <v>94</v>
      </c>
      <c r="J6" s="17" t="s">
        <v>95</v>
      </c>
    </row>
    <row r="7" spans="1:10" s="16" customFormat="1" x14ac:dyDescent="0.35">
      <c r="A7" s="16" t="e">
        <f>IF(#REF!="DOE","TRUE","FALSE")</f>
        <v>#REF!</v>
      </c>
      <c r="B7" s="16" t="e">
        <f>IF(#REF!="LIHEAP","TRUE","FALSE")</f>
        <v>#REF!</v>
      </c>
      <c r="C7" s="16" t="e">
        <f>IF(#REF!="DOE &amp; LIHEAP","TRUE","FALSE")</f>
        <v>#REF!</v>
      </c>
      <c r="D7" s="16" t="e">
        <f>IF(#REF!="Gas Furnace","TRUE","FALSE")</f>
        <v>#REF!</v>
      </c>
      <c r="E7" s="16" t="e">
        <f>IF(#REF!="Electric Resistance Furnace","TRUE","FALSE")</f>
        <v>#REF!</v>
      </c>
      <c r="F7" s="16" t="e">
        <f>IF(#REF!="Heat Pump","TRUE","FALSE")</f>
        <v>#REF!</v>
      </c>
      <c r="G7" s="16" t="e">
        <f>IF(#REF!="TRUE","N/A",IF(#REF!="TRUE",1,IF(#REF!="TRUE","N/A","")))</f>
        <v>#REF!</v>
      </c>
      <c r="H7" s="16" t="e">
        <f>IF(#REF!="Conditioned Space","Conditioned",IF(#REF!="Unconditioned Space","Unconditioned",FALSE))</f>
        <v>#REF!</v>
      </c>
      <c r="J7" s="16" t="e">
        <f>IF(AND(#REF!&lt;1,#REF!&lt;1),"",IF(AND(#REF!="False",#REF!=""),"N/A",IF(AND(#REF!="True",#REF!&gt;0),#REF!,IF(AND(#REF!="True",#REF!&lt;1),"Requires combustion analyzer",IF(AND(#REF!&gt;1,#REF!="TRUE"),"N/A",IF(AND(#REF!&gt;1,#REF!="TRUE"),"N/A"))))))</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Central HVAC Degradation Calc</vt:lpstr>
      <vt:lpstr>RAC Degradation Calc</vt:lpstr>
      <vt:lpstr>Sheet1</vt:lpstr>
      <vt:lpstr>Sheet2</vt:lpstr>
      <vt:lpstr>'Central HVAC Degradation Calc'!Print_Area</vt:lpstr>
      <vt:lpstr>'RAC Degradation Calc'!Print_Area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jgagne</dc:creator>
  <cp:lastModifiedBy>Evan Brown</cp:lastModifiedBy>
  <cp:lastPrinted>2024-04-03T18:10:48Z</cp:lastPrinted>
  <dcterms:created xsi:type="dcterms:W3CDTF">2017-01-20T20:09:41Z</dcterms:created>
  <dcterms:modified xsi:type="dcterms:W3CDTF">2025-08-12T15:54:15Z</dcterms:modified>
</cp:coreProperties>
</file>