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T:\ca\catr\WAP\Website\Posted\Program Guidance Webpage\4. Program Forms\3-Assessment Calculators\"/>
    </mc:Choice>
  </mc:AlternateContent>
  <xr:revisionPtr revIDLastSave="0" documentId="13_ncr:1_{CC7D93C4-AAAB-46BE-84D3-36DDE568AEB9}" xr6:coauthVersionLast="47" xr6:coauthVersionMax="47" xr10:uidLastSave="{00000000-0000-0000-0000-000000000000}"/>
  <bookViews>
    <workbookView xWindow="-108" yWindow="-108" windowWidth="23256" windowHeight="12576" xr2:uid="{00000000-000D-0000-FFFF-FFFF00000000}"/>
  </bookViews>
  <sheets>
    <sheet name="Central HVAC Degradation Calc" sheetId="5" r:id="rId1"/>
    <sheet name="RAC Degradation Calc" sheetId="4" r:id="rId2"/>
    <sheet name="Sheet1" sheetId="2" state="hidden" r:id="rId3"/>
    <sheet name="Sheet2" sheetId="3" state="hidden" r:id="rId4"/>
  </sheets>
  <definedNames>
    <definedName name="CavityDepth">#REF!</definedName>
    <definedName name="Density">#REF!</definedName>
    <definedName name="_xlnm.Print_Area" localSheetId="0">'Central HVAC Degradation Calc'!$A$1:$J$46</definedName>
    <definedName name="_xlnm.Print_Area" localSheetId="1">'RAC Degradation Calc'!$A$1:$D$43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5" l="1"/>
  <c r="A39" i="5"/>
  <c r="I35" i="5"/>
  <c r="I34" i="5"/>
  <c r="I33" i="5" s="1"/>
  <c r="J33" i="5"/>
  <c r="F32" i="5"/>
  <c r="E32" i="5"/>
  <c r="D32" i="5"/>
  <c r="G32" i="5" s="1"/>
  <c r="C32" i="5"/>
  <c r="C37" i="5" s="1"/>
  <c r="B32" i="5"/>
  <c r="A32" i="5"/>
  <c r="B39" i="5" s="1"/>
  <c r="I21" i="5"/>
  <c r="J16" i="5"/>
  <c r="H15" i="5"/>
  <c r="I16" i="5" s="1"/>
  <c r="A15" i="5"/>
  <c r="I13" i="5"/>
  <c r="I12" i="5" s="1"/>
  <c r="H13" i="5"/>
  <c r="F13" i="5"/>
  <c r="E13" i="5"/>
  <c r="D13" i="5"/>
  <c r="G13" i="5" s="1"/>
  <c r="H14" i="5" s="1"/>
  <c r="C13" i="5"/>
  <c r="B13" i="5"/>
  <c r="A13" i="5"/>
  <c r="A21" i="5" s="1"/>
  <c r="B34" i="4"/>
  <c r="C40" i="4" s="1"/>
  <c r="D38" i="4" s="1"/>
  <c r="B29" i="4"/>
  <c r="B30" i="4" s="1"/>
  <c r="D40" i="4" s="1"/>
  <c r="C10" i="4"/>
  <c r="B14" i="4" s="1"/>
  <c r="D18" i="4" s="1"/>
  <c r="D19" i="4" s="1"/>
  <c r="D20" i="4" s="1"/>
  <c r="D39" i="5" l="1"/>
  <c r="C19" i="5"/>
  <c r="G15" i="5"/>
  <c r="B19" i="5"/>
  <c r="C21" i="5"/>
  <c r="C40" i="5"/>
  <c r="C39" i="5"/>
  <c r="G39" i="5"/>
  <c r="A37" i="5"/>
  <c r="B40" i="5"/>
  <c r="B37" i="5"/>
  <c r="H37" i="5" s="1"/>
  <c r="A19" i="5"/>
  <c r="H20" i="5" s="1"/>
  <c r="B21" i="5" s="1"/>
  <c r="D21" i="5" s="1"/>
  <c r="J21" i="5" s="1"/>
  <c r="H22" i="5" s="1"/>
  <c r="A10" i="5"/>
  <c r="H38" i="5" l="1"/>
  <c r="D40" i="5"/>
  <c r="G40" i="5" s="1"/>
  <c r="H39" i="5"/>
  <c r="H41" i="5" s="1"/>
  <c r="H40" i="5" l="1"/>
  <c r="H42" i="5" s="1"/>
  <c r="H7" i="2" l="1"/>
  <c r="F7" i="2"/>
  <c r="E7" i="2"/>
  <c r="D7" i="2"/>
  <c r="C7" i="2"/>
  <c r="B7" i="2"/>
  <c r="A7" i="2"/>
  <c r="G7" i="2" l="1"/>
  <c r="J5" i="2" l="1"/>
  <c r="J7" i="2" l="1"/>
  <c r="H5" i="2"/>
  <c r="I5" i="2" s="1"/>
</calcChain>
</file>

<file path=xl/sharedStrings.xml><?xml version="1.0" encoding="utf-8"?>
<sst xmlns="http://schemas.openxmlformats.org/spreadsheetml/2006/main" count="239" uniqueCount="184">
  <si>
    <t>http://www.nrel.gov/docs/fy06osti/38238.pdf</t>
  </si>
  <si>
    <t>Age = Age of equipment in years.</t>
  </si>
  <si>
    <t>M = Maintenance Factor</t>
  </si>
  <si>
    <t>EFF = (Base EFF) * (1-M)^age</t>
  </si>
  <si>
    <t>Maintenance Factor</t>
  </si>
  <si>
    <t>Enter the estimated maintenance done on the unit. Choose one of two options.</t>
  </si>
  <si>
    <t>Electric-resistance baseboard heating</t>
  </si>
  <si>
    <t>Electric-resistance furnace or boiler, unconditioned space</t>
  </si>
  <si>
    <t>Enter this information if it can be found on the information plate.</t>
  </si>
  <si>
    <t>Electric-resistance furnace or boiler, conditioned space</t>
  </si>
  <si>
    <t>Oil steam boiler</t>
  </si>
  <si>
    <t>Oil hot water boiler, forced-draft combustion</t>
  </si>
  <si>
    <t>Oil furnace, conventional burner, no vent dampers, in conditioned space</t>
  </si>
  <si>
    <t>Oil furnace, flame-retention burner, vent dampers, in conditioned space</t>
  </si>
  <si>
    <t>Base AFUE = Typical efficiency of Pre-Retrofit equipment when new</t>
  </si>
  <si>
    <t>Direct evaporative cooling</t>
  </si>
  <si>
    <t>Gas space heater, gravity type</t>
  </si>
  <si>
    <t xml:space="preserve">AFUE = (Base AFUE) * (1-M)^age </t>
  </si>
  <si>
    <t>Room electric heat pump, louvered sides, single-speed compressor, PSC fan motor, ≥20,000 Btu/hr</t>
  </si>
  <si>
    <t>Gas space heater, fan type</t>
  </si>
  <si>
    <t>The degraded AFUE will be autocalculated using the info input throughout the form.</t>
  </si>
  <si>
    <t>Degraded AFUE/Efficiency</t>
  </si>
  <si>
    <t>Room electric heat pump, louvered sides, single-speed compressor, PSC fan motor, &lt; 20,000 Btu/hr</t>
  </si>
  <si>
    <t>Gas boiler / tankless coil combo system</t>
  </si>
  <si>
    <t>Room air conditioner, louvered sides, cooling only, single-speed compressor, PSC fan motor, (before 1981)</t>
  </si>
  <si>
    <t>Gas hot water / fan-coil combo system</t>
  </si>
  <si>
    <t>Room air conditioner, louvered sides, cooling only, single-speed compressor, PSC fan motor, (1981-1991)</t>
  </si>
  <si>
    <t>Condensing gas boiler</t>
  </si>
  <si>
    <t>Room air conditioner, louvered sides, cooling only, single-speed compressor, PSC fan motor,</t>
  </si>
  <si>
    <t>Gas steam boiler</t>
  </si>
  <si>
    <t>Gas hot water boiler, natural-draft combustion, standing pilot light</t>
  </si>
  <si>
    <t>Degradation of Heating Systems</t>
  </si>
  <si>
    <t>Packaged heat pump, singlespeed reciprocating compressor, PSC air-handler motor</t>
  </si>
  <si>
    <t>Gas furnace, natural-draft combustion, standing pilot light, no vent damper, in unconditioned space</t>
  </si>
  <si>
    <t>Packaged central air conditioner, single-speed reciprocating compressor, PSC air-handler motor</t>
  </si>
  <si>
    <t>Gas furnace, natural-draft combustion, standing pilot light, in conditioned space</t>
  </si>
  <si>
    <t>Enter the current calendar year at the time of intial assessment.</t>
  </si>
  <si>
    <t>Current Calendar Year</t>
  </si>
  <si>
    <t>Split heat pump, single-speed reciprocating compressor, PSC air-handler motor (before 1981)</t>
  </si>
  <si>
    <t>Gas furnace, natural-draft combustion, vent damper, electronic ignition, in conditioned space</t>
  </si>
  <si>
    <t>Split heat pump, single-speed reciprocating compressor, PSC air-handler motor (1981-1991)</t>
  </si>
  <si>
    <t>Gas furnace, direct-vent or forceddraft combustion, electronic ignition, in conditioned space</t>
  </si>
  <si>
    <t>Job #</t>
  </si>
  <si>
    <t>Split heat pump, single-speed reciprocating compressor, PSC air-handler motor (after 1991)</t>
  </si>
  <si>
    <t>Condensing gas furnace</t>
  </si>
  <si>
    <t>Client Name</t>
  </si>
  <si>
    <t>Base HSPF</t>
  </si>
  <si>
    <t>Base EER</t>
  </si>
  <si>
    <t>Base SEER</t>
  </si>
  <si>
    <t>Type of Air Conditioning or Heat-Pump Equipment</t>
  </si>
  <si>
    <t>Base AFUE</t>
  </si>
  <si>
    <t>Type of Heating Equipment</t>
  </si>
  <si>
    <t>Degradation Calculator Instructions</t>
  </si>
  <si>
    <t>Year of System</t>
  </si>
  <si>
    <t>Typical SEER</t>
  </si>
  <si>
    <t>Split  central  air  conditioner,  two - speed  reciprocating compressor,   electronically   commutated   air   handler motor  (ECM),  thermostatic  expansion  valve  (TXV),  fan 
coil</t>
  </si>
  <si>
    <t>Split    central    air    conditioner,    single - speed    scroll compressor, ECM air handler motor, cased coil</t>
  </si>
  <si>
    <t>Split  central  air  conditioner,  single
- speed  reciprocating compressor,  PSC  air-handler  motor,  cased  coil  (after 
1991)</t>
  </si>
  <si>
    <t>Split  central  air  conditioner,  single
-speed  reciprocating compressor,  PSC  air-handler  motor,  cased  coil  (1981
-1991)</t>
  </si>
  <si>
    <t>Split  central  air  conditioner,  single
-speed  reciprocating compressor,  PSC  air-handler  motor,  cased  coil  (before 
1981)</t>
  </si>
  <si>
    <t>Split  heat  pump,  single-speed  scroll  compressor,  ECM air handler motor, TXV valve</t>
  </si>
  <si>
    <t>Source: 
http://www.nrel.gov/docs/fy06osti/38238.pdf</t>
  </si>
  <si>
    <t>Degradation of Central Air Conditioning Systems</t>
  </si>
  <si>
    <t>Table 1</t>
  </si>
  <si>
    <t>Table 2</t>
  </si>
  <si>
    <t>Table 3</t>
  </si>
  <si>
    <t>Pre-1980</t>
  </si>
  <si>
    <t>The degraded SEER/EER will be autocalculated using the info input throughout the form.</t>
  </si>
  <si>
    <t>Verify auto-population with Table 3 to the right.</t>
  </si>
  <si>
    <t>Funding Source</t>
  </si>
  <si>
    <t xml:space="preserve">Furnace Type </t>
  </si>
  <si>
    <t>AFUE/Efficiency</t>
  </si>
  <si>
    <t>Enter the documented Manufactured Year of the existing unit.</t>
  </si>
  <si>
    <t>Select funding source(s) to be used to weatherize the unit</t>
  </si>
  <si>
    <t>Select the type furcentral furnace in the unit to be weatherized.</t>
  </si>
  <si>
    <t>Enter the AFUE of the existing furnace from combustion analyzer efficiency reading.</t>
  </si>
  <si>
    <t>Automated selection based on DOE guidelines</t>
  </si>
  <si>
    <r>
      <t>Manufactured Year</t>
    </r>
    <r>
      <rPr>
        <sz val="10"/>
        <rFont val="Calibri"/>
        <family val="2"/>
      </rPr>
      <t xml:space="preserve"> (found on name plate in the serial number)</t>
    </r>
  </si>
  <si>
    <r>
      <rPr>
        <sz val="12"/>
        <rFont val="Calibri"/>
        <family val="2"/>
        <scheme val="minor"/>
      </rPr>
      <t>Manufactured Year</t>
    </r>
    <r>
      <rPr>
        <sz val="11.5"/>
        <rFont val="Calibri"/>
        <family val="2"/>
        <scheme val="minor"/>
      </rPr>
      <t xml:space="preserve"> </t>
    </r>
    <r>
      <rPr>
        <i/>
        <sz val="10"/>
        <rFont val="Calibri"/>
        <family val="2"/>
        <scheme val="minor"/>
      </rPr>
      <t xml:space="preserve">(found on the plate or </t>
    </r>
    <r>
      <rPr>
        <i/>
        <u/>
        <sz val="10"/>
        <color rgb="FF0000FF"/>
        <rFont val="Calibri"/>
        <family val="2"/>
        <scheme val="minor"/>
      </rPr>
      <t>Building Intelligence Center</t>
    </r>
    <r>
      <rPr>
        <i/>
        <sz val="10"/>
        <rFont val="Calibri"/>
        <family val="2"/>
        <scheme val="minor"/>
      </rPr>
      <t>)</t>
    </r>
  </si>
  <si>
    <t>The Maintenance Factor will be automatically determined based on the selections above.</t>
  </si>
  <si>
    <t xml:space="preserve">Base EFF = Typical efficiency of equipment when new (SEER,
EER, or HSPF) </t>
  </si>
  <si>
    <t>Central Heating &amp; Cooling Degradation Calculator</t>
  </si>
  <si>
    <t xml:space="preserve">Cooling Equipment Type </t>
  </si>
  <si>
    <t>Conditioned space</t>
  </si>
  <si>
    <t>Unconditioned space</t>
  </si>
  <si>
    <t>H12</t>
  </si>
  <si>
    <t>AFUE/Efficiency - Gas Furnace</t>
  </si>
  <si>
    <t>A13</t>
  </si>
  <si>
    <t>B13</t>
  </si>
  <si>
    <t>C13</t>
  </si>
  <si>
    <t>D13</t>
  </si>
  <si>
    <t>E13</t>
  </si>
  <si>
    <t>F13</t>
  </si>
  <si>
    <t>G13</t>
  </si>
  <si>
    <t>H13</t>
  </si>
  <si>
    <t>J13</t>
  </si>
  <si>
    <t>I&amp;J12</t>
  </si>
  <si>
    <t>Electric Resistance Furnace (Base Efficiency)</t>
  </si>
  <si>
    <r>
      <t xml:space="preserve">Gas Unit </t>
    </r>
    <r>
      <rPr>
        <b/>
        <i/>
        <sz val="10"/>
        <color rgb="FFFF0000"/>
        <rFont val="Calibri"/>
        <family val="2"/>
        <scheme val="minor"/>
      </rPr>
      <t>(required from combustion analyzer efficiency reading)</t>
    </r>
  </si>
  <si>
    <r>
      <t xml:space="preserve">Heat Pump (Base HSPF) </t>
    </r>
    <r>
      <rPr>
        <b/>
        <i/>
        <sz val="12"/>
        <color rgb="FFFF0000"/>
        <rFont val="Calibri"/>
        <family val="2"/>
        <scheme val="minor"/>
      </rPr>
      <t>(If unknown leave blank)</t>
    </r>
  </si>
  <si>
    <t xml:space="preserve">Equipment Maintenance </t>
  </si>
  <si>
    <t xml:space="preserve">Maintenance Factor </t>
  </si>
  <si>
    <t>Select Furnace Type</t>
  </si>
  <si>
    <t>Select Funding Source</t>
  </si>
  <si>
    <t>Select Furnace Location</t>
  </si>
  <si>
    <t>WPN-23-6</t>
  </si>
  <si>
    <t xml:space="preserve">For best accessibility, use the arrow keys to navigate through this form. </t>
  </si>
  <si>
    <t>LIHEAP WAP Replacement Tool for Window AC</t>
  </si>
  <si>
    <t>Room AC Replacement Form Instructions</t>
  </si>
  <si>
    <t>Which RAC are you evaluating?</t>
  </si>
  <si>
    <t>Option 1</t>
  </si>
  <si>
    <t xml:space="preserve">Existing </t>
  </si>
  <si>
    <t>Replacement</t>
  </si>
  <si>
    <t>Time metered</t>
  </si>
  <si>
    <t xml:space="preserve">kWh Reading </t>
  </si>
  <si>
    <t>Hours in a year</t>
  </si>
  <si>
    <t>Annual Usage</t>
  </si>
  <si>
    <t>Cost of Replacement</t>
  </si>
  <si>
    <t>The Results are shown as follows</t>
  </si>
  <si>
    <t>Annual Savings</t>
  </si>
  <si>
    <t>Expected Life Savings</t>
  </si>
  <si>
    <t>Savings to Investment Ratio (SIR)</t>
  </si>
  <si>
    <t>If the SIR is 1 or greater, replace the unit</t>
  </si>
  <si>
    <t>Option 2</t>
  </si>
  <si>
    <t>Option 2 Instructions - Enter this information if it can be found on the information plate.</t>
  </si>
  <si>
    <r>
      <t>Manufactured Year</t>
    </r>
    <r>
      <rPr>
        <b/>
        <sz val="10"/>
        <rFont val="Calibri"/>
        <family val="2"/>
      </rPr>
      <t xml:space="preserve"> (found on the plate)</t>
    </r>
  </si>
  <si>
    <t>Enter the Manufactured Year of the existing unit.</t>
  </si>
  <si>
    <r>
      <t>EER</t>
    </r>
    <r>
      <rPr>
        <b/>
        <sz val="10"/>
        <rFont val="Calibri"/>
        <family val="2"/>
      </rPr>
      <t xml:space="preserve"> (found on the plate)</t>
    </r>
  </si>
  <si>
    <t>Equipment Maintenance</t>
  </si>
  <si>
    <t>The Maintenance Factor will be automatically determined based on the selection above.</t>
  </si>
  <si>
    <t>Degraded EER</t>
  </si>
  <si>
    <t>The degraded EER will be autocalculated using the info input throughout the form.</t>
  </si>
  <si>
    <t>Enter this information if you cannot find the EER on the information plate</t>
  </si>
  <si>
    <t>BTUs</t>
  </si>
  <si>
    <t>Amps (actual metering)</t>
  </si>
  <si>
    <t>Enter the watts as found on the information plate.  If the watts cannot be found the assessor must use a meter that is able to calculate watts.  Assessors must enter the watts as found the consumption meter.</t>
  </si>
  <si>
    <t>Volts (110 or 220)</t>
  </si>
  <si>
    <t>Enter the amps as found on the information plate.  If the amps cannot be found the assessor must use a meter that is able to calculate amps.  Assessors must enter the amps as found the consumption meter.</t>
  </si>
  <si>
    <t>Enter 110 or 220 based on the sized of the out let.  The regular outlet used 110 volts.</t>
  </si>
  <si>
    <t>% decrease using amps</t>
  </si>
  <si>
    <t>% decrease using amps.  If the % is ≥ 25 the unit may be replaced.</t>
  </si>
  <si>
    <t>If the % decrease is 25% or more, replace the unit</t>
  </si>
  <si>
    <t>% EER increase using plate</t>
  </si>
  <si>
    <t>% increase using the EER on the plate.  If the % is ≥ 25 the unit may be replaced.</t>
  </si>
  <si>
    <t>If the EER increase is 25% or more, replace the unit</t>
  </si>
  <si>
    <t>These units are 110 volts</t>
  </si>
  <si>
    <t>Area to be Cooled (sq ft)</t>
  </si>
  <si>
    <t>Cooling Capacity (BTUs)</t>
  </si>
  <si>
    <t>100-150</t>
  </si>
  <si>
    <t>150-250</t>
  </si>
  <si>
    <t>250-300</t>
  </si>
  <si>
    <t>300-350</t>
  </si>
  <si>
    <t>350-400</t>
  </si>
  <si>
    <t>400-450</t>
  </si>
  <si>
    <t>450-550</t>
  </si>
  <si>
    <t>550-700</t>
  </si>
  <si>
    <t>These units are 220 volts</t>
  </si>
  <si>
    <t>700-1000</t>
  </si>
  <si>
    <t>1000-1200</t>
  </si>
  <si>
    <t>1200-1400</t>
  </si>
  <si>
    <t>1400-1500</t>
  </si>
  <si>
    <t>Table is provided by Friedrich Air Conditioning</t>
  </si>
  <si>
    <t>Chart is based normal insulation and 2 person occupancy</t>
  </si>
  <si>
    <t>EER2 Rating</t>
  </si>
  <si>
    <t>EER Rating</t>
  </si>
  <si>
    <t>Rev. 06/25/2025</t>
  </si>
  <si>
    <t xml:space="preserve">SEER2 </t>
  </si>
  <si>
    <t xml:space="preserve">SEER2 (Existing SEER2 Conversion) (Units Man. After 2023) </t>
  </si>
  <si>
    <r>
      <t xml:space="preserve">SEER </t>
    </r>
    <r>
      <rPr>
        <i/>
        <sz val="12"/>
        <rFont val="Calibri"/>
        <family val="2"/>
        <scheme val="minor"/>
      </rPr>
      <t xml:space="preserve">(found on the plate) </t>
    </r>
    <r>
      <rPr>
        <b/>
        <i/>
        <sz val="12"/>
        <color rgb="FFFF0000"/>
        <rFont val="Calibri"/>
        <family val="2"/>
        <scheme val="minor"/>
      </rPr>
      <t>(if unknown leave blank)</t>
    </r>
  </si>
  <si>
    <t>Degraded SEER</t>
  </si>
  <si>
    <t>Degraded SEER2</t>
  </si>
  <si>
    <t xml:space="preserve">Statewide Average </t>
  </si>
  <si>
    <t>Replacement of RACs must be justified with either Option 1 or 2 per RAC. Replacement of RACs without proper justification using this tool will result in disallowed costs.</t>
  </si>
  <si>
    <t xml:space="preserve">For LIHEAP units that do not meet the manufactured date criteria within PL utilize this calculator. </t>
  </si>
  <si>
    <t>•</t>
  </si>
  <si>
    <t xml:space="preserve">Enter the EER/EER2 of the existing unit.  Enter the EER/EER2 of the new replacement unit. Utilize EER/EER2 Table below when applicable. </t>
  </si>
  <si>
    <t>Enter the EER2 of the new replacement unit.</t>
  </si>
  <si>
    <t xml:space="preserve">Enter the BTU's of the existing unit if it can be found on the information plate.  If it cannot be found the assessor must estimate and take a photo of the unit.  Window units using a regular outlet range (110v) from 5,000 BTUs to 24,000 BTUs.  </t>
  </si>
  <si>
    <t xml:space="preserve">EER to EER2 Conversion Table </t>
  </si>
  <si>
    <t>Select Appropriate Maintenance Level</t>
  </si>
  <si>
    <t xml:space="preserve">If existing unit is manufactured after 2023 they are subject to SEER2 ratings. </t>
  </si>
  <si>
    <t>Select Equipment Maintenance Factor</t>
  </si>
  <si>
    <t xml:space="preserve">(Units Man. After 2023) </t>
  </si>
  <si>
    <t>Select Cooling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</si>
</sst>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0_);\(0\)"/>
    <numFmt numFmtId="165" formatCode="0.000"/>
    <numFmt numFmtId="166" formatCode="0.0%"/>
    <numFmt numFmtId="167" formatCode="0.0"/>
    <numFmt numFmtId="168" formatCode="&quot;$&quot;#,##0.00"/>
    <numFmt numFmtId="169" formatCode="#,##0.0_);\(#,##0.0\)"/>
  </numFmts>
  <fonts count="42" x14ac:knownFonts="1">
    <font>
      <sz val="11"/>
      <color theme="1"/>
      <name val="Calibri"/>
      <family val="2"/>
      <scheme val="minor"/>
    </font>
    <font>
      <sz val="11"/>
      <color theme="1"/>
      <name val="Calibri"/>
      <family val="2"/>
      <scheme val="minor"/>
    </font>
    <font>
      <sz val="10"/>
      <name val="Calibri"/>
      <family val="2"/>
      <scheme val="minor"/>
    </font>
    <font>
      <u/>
      <sz val="10"/>
      <color theme="10"/>
      <name val="Arial"/>
      <family val="2"/>
    </font>
    <font>
      <sz val="11"/>
      <name val="Calibri"/>
      <family val="2"/>
      <scheme val="minor"/>
    </font>
    <font>
      <b/>
      <sz val="12"/>
      <color indexed="10"/>
      <name val="Calibri"/>
      <family val="2"/>
      <scheme val="minor"/>
    </font>
    <font>
      <b/>
      <sz val="12"/>
      <name val="Calibri"/>
      <family val="2"/>
      <scheme val="minor"/>
    </font>
    <font>
      <sz val="12"/>
      <name val="Calibri"/>
      <family val="2"/>
      <scheme val="minor"/>
    </font>
    <font>
      <b/>
      <sz val="10"/>
      <name val="Calibri"/>
      <family val="2"/>
      <scheme val="minor"/>
    </font>
    <font>
      <sz val="10"/>
      <color theme="0"/>
      <name val="Calibri"/>
      <family val="2"/>
      <scheme val="minor"/>
    </font>
    <font>
      <b/>
      <sz val="14"/>
      <name val="Calibri"/>
      <family val="2"/>
      <scheme val="minor"/>
    </font>
    <font>
      <sz val="11.5"/>
      <name val="Calibri"/>
      <family val="2"/>
      <scheme val="minor"/>
    </font>
    <font>
      <sz val="10"/>
      <name val="Calibri"/>
      <family val="2"/>
    </font>
    <font>
      <i/>
      <sz val="10"/>
      <name val="Calibri"/>
      <family val="2"/>
      <scheme val="minor"/>
    </font>
    <font>
      <u/>
      <sz val="11.5"/>
      <color theme="10"/>
      <name val="Calibri"/>
      <family val="2"/>
      <scheme val="minor"/>
    </font>
    <font>
      <i/>
      <u/>
      <sz val="10"/>
      <color rgb="FF0000FF"/>
      <name val="Calibri"/>
      <family val="2"/>
      <scheme val="minor"/>
    </font>
    <font>
      <i/>
      <sz val="12"/>
      <name val="Calibri"/>
      <family val="2"/>
      <scheme val="minor"/>
    </font>
    <font>
      <sz val="10"/>
      <color theme="5"/>
      <name val="Calibri"/>
      <family val="2"/>
      <scheme val="minor"/>
    </font>
    <font>
      <sz val="11"/>
      <color rgb="FF9BBB59"/>
      <name val="Calibri"/>
      <family val="2"/>
      <scheme val="minor"/>
    </font>
    <font>
      <b/>
      <i/>
      <sz val="10"/>
      <color rgb="FFFF0000"/>
      <name val="Calibri"/>
      <family val="2"/>
      <scheme val="minor"/>
    </font>
    <font>
      <b/>
      <i/>
      <sz val="12"/>
      <color rgb="FFFF0000"/>
      <name val="Calibri"/>
      <family val="2"/>
      <scheme val="minor"/>
    </font>
    <font>
      <sz val="10"/>
      <color rgb="FF3333FF"/>
      <name val="Calibri"/>
      <family val="2"/>
      <scheme val="minor"/>
    </font>
    <font>
      <sz val="12"/>
      <color rgb="FF3333FF"/>
      <name val="Calibri"/>
      <family val="2"/>
      <scheme val="minor"/>
    </font>
    <font>
      <sz val="11"/>
      <color rgb="FF3333FF"/>
      <name val="Calibri"/>
      <family val="2"/>
      <scheme val="minor"/>
    </font>
    <font>
      <sz val="11.5"/>
      <color rgb="FF3333FF"/>
      <name val="Calibri"/>
      <family val="2"/>
      <scheme val="minor"/>
    </font>
    <font>
      <b/>
      <sz val="12"/>
      <color rgb="FF3333FF"/>
      <name val="Calibri"/>
      <family val="2"/>
      <scheme val="minor"/>
    </font>
    <font>
      <b/>
      <u/>
      <sz val="11"/>
      <color rgb="FF0000FF"/>
      <name val="Calibri"/>
      <family val="2"/>
      <scheme val="minor"/>
    </font>
    <font>
      <b/>
      <sz val="12"/>
      <color rgb="FF0000FF"/>
      <name val="Calibri"/>
      <family val="2"/>
      <scheme val="minor"/>
    </font>
    <font>
      <sz val="10"/>
      <color rgb="FF0000FF"/>
      <name val="Calibri"/>
      <family val="2"/>
      <scheme val="minor"/>
    </font>
    <font>
      <sz val="11"/>
      <color rgb="FF0000FF"/>
      <name val="Calibri"/>
      <family val="2"/>
      <scheme val="minor"/>
    </font>
    <font>
      <b/>
      <sz val="11"/>
      <name val="Calibri"/>
      <family val="2"/>
      <scheme val="minor"/>
    </font>
    <font>
      <b/>
      <sz val="10"/>
      <color indexed="8"/>
      <name val="Calibri"/>
      <family val="2"/>
      <scheme val="minor"/>
    </font>
    <font>
      <sz val="10"/>
      <color indexed="10"/>
      <name val="Calibri"/>
      <family val="2"/>
      <scheme val="minor"/>
    </font>
    <font>
      <sz val="11"/>
      <color indexed="48"/>
      <name val="Calibri"/>
      <family val="2"/>
      <scheme val="minor"/>
    </font>
    <font>
      <sz val="12"/>
      <color indexed="8"/>
      <name val="Calibri"/>
      <family val="2"/>
      <scheme val="minor"/>
    </font>
    <font>
      <b/>
      <sz val="12"/>
      <color indexed="8"/>
      <name val="Calibri"/>
      <family val="2"/>
      <scheme val="minor"/>
    </font>
    <font>
      <sz val="9"/>
      <name val="Calibri"/>
      <family val="2"/>
      <scheme val="minor"/>
    </font>
    <font>
      <b/>
      <sz val="10"/>
      <name val="Calibri"/>
      <family val="2"/>
    </font>
    <font>
      <sz val="11"/>
      <color theme="0"/>
      <name val="Calibri"/>
      <family val="2"/>
      <scheme val="minor"/>
    </font>
    <font>
      <sz val="14"/>
      <color theme="1"/>
      <name val="Calibri"/>
      <family val="2"/>
      <scheme val="minor"/>
    </font>
    <font>
      <u/>
      <sz val="11"/>
      <color rgb="FF3333FF"/>
      <name val="Calibri"/>
      <family val="2"/>
      <scheme val="minor"/>
    </font>
    <font>
      <sz val="11"/>
      <color theme="5"/>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5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style="dotted">
        <color indexed="64"/>
      </top>
      <bottom/>
      <diagonal/>
    </border>
    <border>
      <left/>
      <right/>
      <top style="medium">
        <color indexed="64"/>
      </top>
      <bottom/>
      <diagonal/>
    </border>
    <border>
      <left style="medium">
        <color indexed="64"/>
      </left>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06">
    <xf numFmtId="0" fontId="0" fillId="0" borderId="0" xfId="0"/>
    <xf numFmtId="0" fontId="2" fillId="0" borderId="2" xfId="0" applyFont="1" applyBorder="1" applyAlignment="1">
      <alignment horizontal="center" wrapText="1"/>
    </xf>
    <xf numFmtId="0" fontId="2" fillId="0" borderId="2" xfId="0" applyFont="1" applyBorder="1" applyAlignment="1">
      <alignment wrapText="1"/>
    </xf>
    <xf numFmtId="0" fontId="6" fillId="0" borderId="0" xfId="0" applyFont="1"/>
    <xf numFmtId="44" fontId="6" fillId="0" borderId="0" xfId="1" applyFont="1" applyFill="1" applyBorder="1" applyAlignment="1">
      <alignment vertical="center"/>
    </xf>
    <xf numFmtId="0" fontId="9" fillId="0" borderId="0" xfId="0" applyFont="1"/>
    <xf numFmtId="0" fontId="8" fillId="0" borderId="0" xfId="0" applyFont="1"/>
    <xf numFmtId="0" fontId="2" fillId="0" borderId="0" xfId="0" applyFont="1"/>
    <xf numFmtId="0" fontId="2" fillId="0" borderId="0" xfId="0" applyFont="1" applyAlignment="1">
      <alignment horizontal="center"/>
    </xf>
    <xf numFmtId="0" fontId="4" fillId="0" borderId="0" xfId="0" applyFont="1"/>
    <xf numFmtId="0" fontId="2" fillId="0" borderId="2" xfId="0" applyFont="1" applyBorder="1" applyAlignment="1">
      <alignment horizontal="center"/>
    </xf>
    <xf numFmtId="0" fontId="4" fillId="0" borderId="0" xfId="0" applyFont="1" applyAlignment="1">
      <alignment horizontal="left" vertical="center"/>
    </xf>
    <xf numFmtId="0" fontId="2" fillId="0" borderId="2" xfId="0" applyFont="1" applyBorder="1" applyAlignment="1">
      <alignment horizontal="left"/>
    </xf>
    <xf numFmtId="0" fontId="2" fillId="0" borderId="2" xfId="0" applyFont="1" applyBorder="1"/>
    <xf numFmtId="0" fontId="17" fillId="0" borderId="0" xfId="0" applyFont="1"/>
    <xf numFmtId="0" fontId="18" fillId="0" borderId="0" xfId="0" applyFont="1"/>
    <xf numFmtId="0" fontId="0" fillId="0" borderId="0" xfId="0" applyAlignment="1">
      <alignment horizontal="center"/>
    </xf>
    <xf numFmtId="0" fontId="0" fillId="0" borderId="0" xfId="0" applyAlignment="1">
      <alignment horizontal="center" vertical="center"/>
    </xf>
    <xf numFmtId="0" fontId="0" fillId="3" borderId="0" xfId="0" applyFill="1" applyAlignment="1">
      <alignment horizontal="center"/>
    </xf>
    <xf numFmtId="0" fontId="0" fillId="0" borderId="0" xfId="0" applyFill="1"/>
    <xf numFmtId="0" fontId="2" fillId="0" borderId="24" xfId="0" applyFont="1" applyBorder="1"/>
    <xf numFmtId="0" fontId="2" fillId="0" borderId="24" xfId="0" applyFont="1" applyBorder="1" applyAlignment="1">
      <alignment horizontal="center"/>
    </xf>
    <xf numFmtId="0" fontId="2" fillId="0" borderId="24" xfId="0" applyFont="1" applyBorder="1" applyAlignment="1">
      <alignment horizontal="left"/>
    </xf>
    <xf numFmtId="0" fontId="2" fillId="0" borderId="22" xfId="0" applyFont="1" applyBorder="1"/>
    <xf numFmtId="0" fontId="2" fillId="0" borderId="22" xfId="0" applyFont="1" applyBorder="1" applyAlignment="1">
      <alignment horizontal="center"/>
    </xf>
    <xf numFmtId="0" fontId="2" fillId="0" borderId="22" xfId="0" applyFont="1" applyBorder="1" applyAlignment="1">
      <alignment horizontal="left"/>
    </xf>
    <xf numFmtId="1" fontId="8" fillId="4" borderId="2" xfId="0" applyNumberFormat="1" applyFont="1" applyFill="1" applyBorder="1" applyAlignment="1" applyProtection="1">
      <alignment horizontal="center"/>
      <protection locked="0"/>
    </xf>
    <xf numFmtId="0" fontId="4" fillId="4" borderId="2" xfId="0" applyFont="1" applyFill="1" applyBorder="1" applyAlignment="1" applyProtection="1">
      <alignment horizontal="center" vertical="center"/>
      <protection locked="0"/>
    </xf>
    <xf numFmtId="2" fontId="7" fillId="4" borderId="2" xfId="0" applyNumberFormat="1" applyFont="1" applyFill="1" applyBorder="1" applyAlignment="1" applyProtection="1">
      <alignment horizontal="center"/>
      <protection locked="0"/>
    </xf>
    <xf numFmtId="166" fontId="7" fillId="4" borderId="2" xfId="0" applyNumberFormat="1" applyFont="1" applyFill="1" applyBorder="1" applyAlignment="1" applyProtection="1">
      <alignment horizontal="center"/>
      <protection locked="0"/>
    </xf>
    <xf numFmtId="0" fontId="2" fillId="0" borderId="0" xfId="0" applyFont="1" applyAlignment="1">
      <alignment horizontal="right"/>
    </xf>
    <xf numFmtId="0" fontId="2" fillId="0" borderId="0" xfId="0" applyFont="1" applyAlignment="1">
      <alignment horizontal="right" vertical="center"/>
    </xf>
    <xf numFmtId="0" fontId="21" fillId="0" borderId="0" xfId="0" applyFont="1"/>
    <xf numFmtId="0" fontId="21"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4" fontId="6" fillId="2" borderId="4" xfId="1" applyFont="1" applyFill="1" applyBorder="1" applyAlignment="1">
      <alignment vertical="center"/>
    </xf>
    <xf numFmtId="44" fontId="6" fillId="2" borderId="8" xfId="1" applyFont="1" applyFill="1" applyBorder="1" applyAlignment="1">
      <alignment vertical="center"/>
    </xf>
    <xf numFmtId="44" fontId="6" fillId="2" borderId="3" xfId="1" applyFont="1" applyFill="1" applyBorder="1" applyAlignment="1">
      <alignment vertical="center"/>
    </xf>
    <xf numFmtId="0" fontId="6" fillId="2" borderId="1" xfId="0" applyFont="1" applyFill="1" applyBorder="1" applyAlignment="1">
      <alignment horizontal="right"/>
    </xf>
    <xf numFmtId="0" fontId="6" fillId="2" borderId="33" xfId="0" applyFont="1" applyFill="1" applyBorder="1" applyAlignment="1">
      <alignment horizontal="right"/>
    </xf>
    <xf numFmtId="0" fontId="2" fillId="7" borderId="33" xfId="0" applyFont="1" applyFill="1" applyBorder="1"/>
    <xf numFmtId="0" fontId="2" fillId="7" borderId="31" xfId="0" applyFont="1" applyFill="1" applyBorder="1" applyAlignment="1">
      <alignment horizontal="left"/>
    </xf>
    <xf numFmtId="0" fontId="6" fillId="2" borderId="4" xfId="0" applyFont="1" applyFill="1" applyBorder="1"/>
    <xf numFmtId="0" fontId="6" fillId="2" borderId="8" xfId="0" applyFont="1" applyFill="1" applyBorder="1"/>
    <xf numFmtId="0" fontId="6" fillId="7" borderId="1" xfId="0" applyFont="1" applyFill="1" applyBorder="1"/>
    <xf numFmtId="0" fontId="6" fillId="7" borderId="0" xfId="0" applyFont="1" applyFill="1"/>
    <xf numFmtId="0" fontId="6" fillId="7" borderId="7" xfId="0" applyFont="1" applyFill="1" applyBorder="1"/>
    <xf numFmtId="0" fontId="6" fillId="2" borderId="35" xfId="0" applyFont="1" applyFill="1" applyBorder="1"/>
    <xf numFmtId="0" fontId="30" fillId="0" borderId="0" xfId="0" applyFont="1" applyAlignment="1">
      <alignment horizontal="left" vertical="top"/>
    </xf>
    <xf numFmtId="0" fontId="4" fillId="0" borderId="0" xfId="0" applyFont="1" applyAlignment="1">
      <alignment horizontal="left"/>
    </xf>
    <xf numFmtId="0" fontId="6" fillId="2" borderId="1" xfId="0" applyFont="1" applyFill="1" applyBorder="1"/>
    <xf numFmtId="43" fontId="2" fillId="2" borderId="0" xfId="0" applyNumberFormat="1" applyFont="1" applyFill="1" applyAlignment="1">
      <alignment horizontal="center"/>
    </xf>
    <xf numFmtId="0" fontId="6" fillId="2" borderId="36" xfId="0" applyFont="1" applyFill="1" applyBorder="1" applyAlignment="1">
      <alignment horizontal="center"/>
    </xf>
    <xf numFmtId="0" fontId="4" fillId="0" borderId="0" xfId="0" applyFont="1" applyAlignment="1">
      <alignment horizontal="left" vertical="top"/>
    </xf>
    <xf numFmtId="0" fontId="4" fillId="0" borderId="0" xfId="0" applyFont="1" applyAlignment="1">
      <alignment vertical="top"/>
    </xf>
    <xf numFmtId="0" fontId="6" fillId="2" borderId="7" xfId="0" applyFont="1" applyFill="1" applyBorder="1" applyAlignment="1">
      <alignment horizontal="center"/>
    </xf>
    <xf numFmtId="0" fontId="31" fillId="2" borderId="2" xfId="0" applyFont="1" applyFill="1" applyBorder="1" applyAlignment="1">
      <alignment horizontal="center"/>
    </xf>
    <xf numFmtId="0" fontId="6" fillId="2" borderId="37" xfId="0" applyFont="1" applyFill="1" applyBorder="1" applyAlignment="1">
      <alignment horizontal="center"/>
    </xf>
    <xf numFmtId="39" fontId="32" fillId="2" borderId="2" xfId="0" applyNumberFormat="1" applyFont="1" applyFill="1" applyBorder="1" applyAlignment="1">
      <alignment horizontal="center"/>
    </xf>
    <xf numFmtId="0" fontId="6" fillId="2" borderId="30" xfId="0" applyFont="1" applyFill="1" applyBorder="1" applyAlignment="1">
      <alignment horizontal="center"/>
    </xf>
    <xf numFmtId="0" fontId="2" fillId="2" borderId="0" xfId="0" applyFont="1" applyFill="1" applyAlignment="1">
      <alignment horizontal="center"/>
    </xf>
    <xf numFmtId="0" fontId="33" fillId="0" borderId="0" xfId="0" applyFont="1"/>
    <xf numFmtId="0" fontId="6" fillId="2" borderId="33" xfId="0" applyFont="1" applyFill="1" applyBorder="1"/>
    <xf numFmtId="0" fontId="8" fillId="2" borderId="31" xfId="0" applyFont="1" applyFill="1" applyBorder="1"/>
    <xf numFmtId="0" fontId="2" fillId="2" borderId="31" xfId="0" applyFont="1" applyFill="1" applyBorder="1"/>
    <xf numFmtId="0" fontId="6" fillId="2" borderId="34" xfId="0" applyFont="1" applyFill="1" applyBorder="1"/>
    <xf numFmtId="0" fontId="4" fillId="0" borderId="0" xfId="0" applyFont="1" applyAlignment="1">
      <alignment vertical="center"/>
    </xf>
    <xf numFmtId="0" fontId="6" fillId="2" borderId="5" xfId="0" applyFont="1" applyFill="1" applyBorder="1"/>
    <xf numFmtId="0" fontId="8" fillId="2" borderId="14" xfId="0" applyFont="1" applyFill="1" applyBorder="1"/>
    <xf numFmtId="0" fontId="2" fillId="2" borderId="14" xfId="0" applyFont="1" applyFill="1" applyBorder="1"/>
    <xf numFmtId="0" fontId="6" fillId="2" borderId="6" xfId="0" applyFont="1" applyFill="1" applyBorder="1"/>
    <xf numFmtId="0" fontId="30" fillId="0" borderId="0" xfId="0" applyFont="1" applyAlignment="1">
      <alignment vertical="center"/>
    </xf>
    <xf numFmtId="43" fontId="2" fillId="2" borderId="0" xfId="0" applyNumberFormat="1" applyFont="1" applyFill="1"/>
    <xf numFmtId="0" fontId="2" fillId="2" borderId="0" xfId="0" applyFont="1" applyFill="1"/>
    <xf numFmtId="7" fontId="34" fillId="2" borderId="38" xfId="0" applyNumberFormat="1" applyFont="1" applyFill="1" applyBorder="1" applyAlignment="1">
      <alignment horizontal="center"/>
    </xf>
    <xf numFmtId="0" fontId="2" fillId="0" borderId="0" xfId="0" applyFont="1" applyProtection="1">
      <protection locked="0"/>
    </xf>
    <xf numFmtId="7" fontId="34" fillId="2" borderId="35" xfId="0" applyNumberFormat="1" applyFont="1" applyFill="1" applyBorder="1" applyAlignment="1">
      <alignment horizontal="center"/>
    </xf>
    <xf numFmtId="43" fontId="2" fillId="0" borderId="0" xfId="0" applyNumberFormat="1" applyFont="1" applyProtection="1">
      <protection locked="0"/>
    </xf>
    <xf numFmtId="39" fontId="35" fillId="2" borderId="39" xfId="0" applyNumberFormat="1" applyFont="1" applyFill="1" applyBorder="1" applyAlignment="1">
      <alignment horizontal="center"/>
    </xf>
    <xf numFmtId="43" fontId="4" fillId="0" borderId="0" xfId="0" applyNumberFormat="1" applyFont="1" applyProtection="1">
      <protection locked="0"/>
    </xf>
    <xf numFmtId="0" fontId="8" fillId="2" borderId="1" xfId="0" applyFont="1" applyFill="1" applyBorder="1"/>
    <xf numFmtId="43" fontId="36" fillId="2" borderId="19" xfId="2" applyFont="1" applyFill="1" applyBorder="1"/>
    <xf numFmtId="0" fontId="2" fillId="2" borderId="20" xfId="0" applyFont="1" applyFill="1" applyBorder="1"/>
    <xf numFmtId="0" fontId="2" fillId="2" borderId="40" xfId="0" applyFont="1" applyFill="1" applyBorder="1"/>
    <xf numFmtId="0" fontId="2" fillId="0" borderId="0" xfId="0" applyFont="1" applyAlignment="1">
      <alignment horizontal="left"/>
    </xf>
    <xf numFmtId="0" fontId="2" fillId="2" borderId="33" xfId="0" applyFont="1" applyFill="1" applyBorder="1"/>
    <xf numFmtId="0" fontId="2" fillId="2" borderId="34" xfId="0" applyFont="1" applyFill="1" applyBorder="1"/>
    <xf numFmtId="0" fontId="2" fillId="0" borderId="1" xfId="0" applyFont="1" applyBorder="1"/>
    <xf numFmtId="0" fontId="2" fillId="0" borderId="7" xfId="0" applyFont="1" applyBorder="1"/>
    <xf numFmtId="0" fontId="6" fillId="2" borderId="35" xfId="0" applyFont="1" applyFill="1" applyBorder="1" applyAlignment="1">
      <alignment horizontal="center"/>
    </xf>
    <xf numFmtId="0" fontId="6" fillId="2" borderId="0" xfId="0" applyFont="1" applyFill="1" applyAlignment="1">
      <alignment horizontal="center"/>
    </xf>
    <xf numFmtId="0" fontId="6" fillId="2" borderId="23" xfId="0" applyFont="1" applyFill="1" applyBorder="1" applyAlignment="1">
      <alignment horizontal="center"/>
    </xf>
    <xf numFmtId="0" fontId="2" fillId="2" borderId="41" xfId="0" applyFont="1" applyFill="1" applyBorder="1" applyAlignment="1">
      <alignment horizontal="center"/>
    </xf>
    <xf numFmtId="0" fontId="2" fillId="2" borderId="2" xfId="0" applyFont="1" applyFill="1" applyBorder="1" applyAlignment="1">
      <alignment horizontal="center"/>
    </xf>
    <xf numFmtId="39" fontId="32" fillId="2" borderId="0" xfId="0" applyNumberFormat="1" applyFont="1" applyFill="1" applyAlignment="1">
      <alignment horizontal="center"/>
    </xf>
    <xf numFmtId="39" fontId="2" fillId="2" borderId="2" xfId="0" applyNumberFormat="1" applyFont="1" applyFill="1" applyBorder="1" applyAlignment="1">
      <alignment horizontal="center"/>
    </xf>
    <xf numFmtId="0" fontId="2" fillId="2" borderId="1" xfId="0" applyFont="1" applyFill="1" applyBorder="1"/>
    <xf numFmtId="0" fontId="2" fillId="2" borderId="7" xfId="0" applyFont="1" applyFill="1" applyBorder="1" applyAlignment="1">
      <alignment horizontal="center"/>
    </xf>
    <xf numFmtId="0" fontId="8" fillId="2" borderId="14" xfId="0" applyFont="1" applyFill="1" applyBorder="1" applyAlignment="1">
      <alignment horizontal="center"/>
    </xf>
    <xf numFmtId="0" fontId="2" fillId="2" borderId="14" xfId="0" applyFont="1" applyFill="1" applyBorder="1" applyAlignment="1">
      <alignment horizontal="center"/>
    </xf>
    <xf numFmtId="0" fontId="2" fillId="2" borderId="6" xfId="0" applyFont="1" applyFill="1" applyBorder="1" applyAlignment="1">
      <alignment horizontal="center"/>
    </xf>
    <xf numFmtId="166" fontId="6" fillId="2" borderId="35" xfId="0" applyNumberFormat="1" applyFont="1" applyFill="1" applyBorder="1" applyAlignment="1">
      <alignment horizontal="center"/>
    </xf>
    <xf numFmtId="0" fontId="2" fillId="2" borderId="7" xfId="0" applyFont="1" applyFill="1" applyBorder="1"/>
    <xf numFmtId="10" fontId="6" fillId="2" borderId="35" xfId="0" applyNumberFormat="1" applyFont="1" applyFill="1" applyBorder="1" applyAlignment="1">
      <alignment horizontal="center"/>
    </xf>
    <xf numFmtId="0" fontId="2" fillId="2" borderId="37" xfId="0" applyFont="1" applyFill="1" applyBorder="1"/>
    <xf numFmtId="166" fontId="2" fillId="2" borderId="34" xfId="0" applyNumberFormat="1" applyFont="1" applyFill="1" applyBorder="1"/>
    <xf numFmtId="0" fontId="7" fillId="0" borderId="0" xfId="0" applyFont="1"/>
    <xf numFmtId="0" fontId="30" fillId="8" borderId="4" xfId="0" applyFont="1" applyFill="1" applyBorder="1" applyAlignment="1">
      <alignment vertical="top" wrapText="1"/>
    </xf>
    <xf numFmtId="0" fontId="30" fillId="8" borderId="3" xfId="0" applyFont="1" applyFill="1" applyBorder="1" applyAlignment="1">
      <alignment vertical="top" wrapText="1"/>
    </xf>
    <xf numFmtId="0" fontId="4" fillId="8" borderId="42" xfId="0" applyFont="1" applyFill="1" applyBorder="1" applyAlignment="1">
      <alignment horizontal="center" vertical="top" wrapText="1"/>
    </xf>
    <xf numFmtId="0" fontId="4" fillId="8" borderId="43" xfId="0" applyFont="1" applyFill="1" applyBorder="1" applyAlignment="1">
      <alignment horizontal="center" vertical="top" wrapText="1"/>
    </xf>
    <xf numFmtId="0" fontId="4" fillId="0" borderId="0" xfId="0" applyFont="1" applyAlignment="1">
      <alignment horizontal="left" vertical="top" wrapText="1"/>
    </xf>
    <xf numFmtId="0" fontId="4" fillId="9" borderId="5" xfId="0" applyFont="1" applyFill="1" applyBorder="1" applyAlignment="1">
      <alignment horizontal="left" vertical="top"/>
    </xf>
    <xf numFmtId="0" fontId="4" fillId="9" borderId="6" xfId="0" applyFont="1" applyFill="1" applyBorder="1"/>
    <xf numFmtId="0" fontId="4" fillId="9" borderId="35" xfId="0" applyFont="1" applyFill="1" applyBorder="1" applyAlignment="1">
      <alignment horizontal="left" vertical="top"/>
    </xf>
    <xf numFmtId="0" fontId="4" fillId="9" borderId="3" xfId="0" applyFont="1" applyFill="1" applyBorder="1"/>
    <xf numFmtId="0" fontId="4" fillId="0" borderId="2" xfId="0" applyFont="1" applyBorder="1" applyAlignment="1">
      <alignment horizontal="center"/>
    </xf>
    <xf numFmtId="0" fontId="4" fillId="0" borderId="46" xfId="0" applyFont="1" applyBorder="1" applyAlignment="1">
      <alignment horizontal="center" vertical="top" wrapText="1"/>
    </xf>
    <xf numFmtId="3" fontId="4" fillId="0" borderId="23" xfId="0" applyNumberFormat="1" applyFont="1" applyBorder="1" applyAlignment="1">
      <alignment horizontal="center" vertical="top" wrapText="1"/>
    </xf>
    <xf numFmtId="0" fontId="4" fillId="0" borderId="47" xfId="0" applyFont="1" applyBorder="1" applyAlignment="1">
      <alignment horizontal="center" vertical="top" wrapText="1"/>
    </xf>
    <xf numFmtId="3" fontId="4" fillId="0" borderId="18" xfId="0" applyNumberFormat="1" applyFont="1" applyBorder="1" applyAlignment="1">
      <alignment horizontal="center" vertical="top" wrapText="1"/>
    </xf>
    <xf numFmtId="0" fontId="4" fillId="0" borderId="48" xfId="0" applyFont="1" applyBorder="1" applyAlignment="1">
      <alignment horizontal="center" vertical="top" wrapText="1"/>
    </xf>
    <xf numFmtId="3" fontId="4" fillId="0" borderId="49" xfId="0" applyNumberFormat="1" applyFont="1" applyBorder="1" applyAlignment="1">
      <alignment horizontal="center" vertical="top" wrapText="1"/>
    </xf>
    <xf numFmtId="0" fontId="4" fillId="8" borderId="22" xfId="0" applyFont="1" applyFill="1" applyBorder="1" applyAlignment="1">
      <alignment horizontal="center" vertical="top" wrapText="1"/>
    </xf>
    <xf numFmtId="0" fontId="2" fillId="7" borderId="0" xfId="0" applyFont="1" applyFill="1" applyBorder="1" applyAlignment="1">
      <alignment horizontal="left"/>
    </xf>
    <xf numFmtId="0" fontId="2" fillId="7" borderId="7" xfId="0" applyFont="1" applyFill="1" applyBorder="1" applyAlignment="1">
      <alignment horizontal="left"/>
    </xf>
    <xf numFmtId="0" fontId="6" fillId="2" borderId="4" xfId="0" applyFont="1" applyFill="1" applyBorder="1" applyAlignment="1">
      <alignment horizontal="center"/>
    </xf>
    <xf numFmtId="0" fontId="6" fillId="2" borderId="3"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23" fillId="0" borderId="0" xfId="0" applyFont="1"/>
    <xf numFmtId="0" fontId="23" fillId="0" borderId="0" xfId="0" applyFont="1" applyAlignment="1">
      <alignment horizontal="center" vertical="center"/>
    </xf>
    <xf numFmtId="0" fontId="38" fillId="0" borderId="0" xfId="0" applyFont="1"/>
    <xf numFmtId="0" fontId="41" fillId="0" borderId="0" xfId="0" applyFont="1"/>
    <xf numFmtId="1" fontId="4" fillId="0" borderId="0" xfId="0" applyNumberFormat="1" applyFont="1"/>
    <xf numFmtId="43" fontId="2" fillId="0" borderId="0" xfId="0" applyNumberFormat="1" applyFont="1" applyAlignment="1" applyProtection="1">
      <alignment horizontal="center"/>
      <protection locked="0"/>
    </xf>
    <xf numFmtId="0" fontId="2" fillId="0" borderId="0" xfId="0" applyFont="1" applyAlignment="1">
      <alignment horizontal="center" wrapText="1"/>
    </xf>
    <xf numFmtId="49" fontId="2" fillId="0" borderId="0" xfId="0" applyNumberFormat="1" applyFont="1" applyProtection="1">
      <protection locked="0"/>
    </xf>
    <xf numFmtId="43" fontId="4" fillId="0" borderId="0" xfId="0" applyNumberFormat="1" applyFont="1"/>
    <xf numFmtId="1" fontId="8" fillId="0" borderId="0" xfId="0" applyNumberFormat="1" applyFont="1" applyAlignment="1" applyProtection="1">
      <alignment horizontal="center"/>
      <protection locked="0"/>
    </xf>
    <xf numFmtId="164" fontId="7" fillId="0" borderId="0" xfId="0" applyNumberFormat="1" applyFont="1" applyAlignment="1" applyProtection="1">
      <alignment horizontal="center"/>
      <protection locked="0"/>
    </xf>
    <xf numFmtId="39" fontId="7" fillId="0" borderId="0" xfId="0" applyNumberFormat="1" applyFont="1" applyAlignment="1" applyProtection="1">
      <alignment horizontal="center"/>
      <protection locked="0"/>
    </xf>
    <xf numFmtId="0" fontId="21" fillId="0" borderId="4" xfId="0" applyFont="1" applyBorder="1" applyAlignment="1">
      <alignment horizontal="center"/>
    </xf>
    <xf numFmtId="0" fontId="21" fillId="0" borderId="8" xfId="0" applyFont="1" applyBorder="1" applyAlignment="1">
      <alignment horizontal="center"/>
    </xf>
    <xf numFmtId="0" fontId="22" fillId="0" borderId="0" xfId="0" applyFont="1" applyAlignment="1">
      <alignment horizontal="center"/>
    </xf>
    <xf numFmtId="0" fontId="40" fillId="0" borderId="0" xfId="3" applyFont="1" applyAlignment="1" applyProtection="1"/>
    <xf numFmtId="0" fontId="6" fillId="2" borderId="14" xfId="0" applyFont="1" applyFill="1" applyBorder="1"/>
    <xf numFmtId="39" fontId="6" fillId="0" borderId="0" xfId="0" applyNumberFormat="1" applyFont="1" applyAlignment="1">
      <alignment horizontal="center"/>
    </xf>
    <xf numFmtId="0" fontId="21" fillId="0" borderId="1" xfId="0" applyFont="1" applyBorder="1" applyAlignment="1">
      <alignment horizontal="center" vertical="center"/>
    </xf>
    <xf numFmtId="0" fontId="2" fillId="0" borderId="0" xfId="0" applyFont="1" applyAlignment="1">
      <alignment horizontal="center" vertical="center"/>
    </xf>
    <xf numFmtId="166" fontId="7" fillId="0" borderId="25" xfId="0" applyNumberFormat="1" applyFont="1" applyBorder="1" applyAlignment="1">
      <alignment vertical="center"/>
    </xf>
    <xf numFmtId="167" fontId="21" fillId="0" borderId="0" xfId="0" applyNumberFormat="1" applyFont="1" applyAlignment="1">
      <alignment horizontal="center"/>
    </xf>
    <xf numFmtId="167" fontId="7" fillId="2" borderId="19" xfId="0" applyNumberFormat="1" applyFont="1" applyFill="1" applyBorder="1"/>
    <xf numFmtId="167" fontId="7" fillId="2" borderId="26" xfId="0" applyNumberFormat="1" applyFont="1" applyFill="1" applyBorder="1"/>
    <xf numFmtId="0" fontId="22" fillId="0" borderId="1" xfId="0" applyFont="1" applyBorder="1" applyAlignment="1">
      <alignment horizontal="left" vertical="center"/>
    </xf>
    <xf numFmtId="0" fontId="22" fillId="0" borderId="0" xfId="0" applyFont="1" applyAlignment="1">
      <alignment horizontal="left" vertical="center"/>
    </xf>
    <xf numFmtId="0" fontId="4" fillId="0" borderId="0" xfId="0" applyFont="1" applyAlignment="1" applyProtection="1">
      <alignment horizontal="center" vertical="center"/>
      <protection locked="0"/>
    </xf>
    <xf numFmtId="167" fontId="7" fillId="0" borderId="0" xfId="0" applyNumberFormat="1" applyFont="1"/>
    <xf numFmtId="167" fontId="7" fillId="0" borderId="7" xfId="0" applyNumberFormat="1" applyFont="1" applyBorder="1"/>
    <xf numFmtId="0" fontId="23" fillId="0" borderId="0" xfId="0" applyFont="1" applyAlignment="1">
      <alignment horizontal="left" vertical="center"/>
    </xf>
    <xf numFmtId="0" fontId="21" fillId="0" borderId="0" xfId="0" applyFont="1" applyAlignment="1">
      <alignment horizontal="center"/>
    </xf>
    <xf numFmtId="0" fontId="21" fillId="0" borderId="0" xfId="0" applyFont="1" applyAlignment="1">
      <alignment horizontal="left"/>
    </xf>
    <xf numFmtId="2" fontId="21" fillId="0" borderId="1" xfId="0" applyNumberFormat="1" applyFont="1" applyBorder="1" applyAlignment="1">
      <alignment horizontal="left" vertical="center"/>
    </xf>
    <xf numFmtId="2" fontId="21" fillId="0" borderId="0" xfId="0" applyNumberFormat="1" applyFont="1" applyAlignment="1">
      <alignment horizontal="center" vertical="center"/>
    </xf>
    <xf numFmtId="0" fontId="21" fillId="0" borderId="0" xfId="0" applyFont="1" applyAlignment="1">
      <alignment horizontal="left" vertical="center"/>
    </xf>
    <xf numFmtId="9" fontId="28" fillId="0" borderId="15" xfId="0" applyNumberFormat="1" applyFont="1" applyBorder="1" applyAlignment="1">
      <alignment horizontal="left" vertical="center"/>
    </xf>
    <xf numFmtId="9" fontId="28" fillId="0" borderId="13" xfId="0" applyNumberFormat="1" applyFont="1" applyBorder="1" applyAlignment="1">
      <alignment horizontal="center" vertical="center"/>
    </xf>
    <xf numFmtId="0" fontId="28" fillId="0" borderId="13" xfId="0" applyFont="1" applyBorder="1" applyAlignment="1">
      <alignment horizontal="left" vertical="center"/>
    </xf>
    <xf numFmtId="0" fontId="28" fillId="6" borderId="13" xfId="0" applyFont="1" applyFill="1" applyBorder="1" applyAlignment="1">
      <alignment horizontal="left" vertical="center"/>
    </xf>
    <xf numFmtId="167" fontId="28" fillId="0" borderId="13" xfId="0" applyNumberFormat="1" applyFont="1" applyBorder="1" applyAlignment="1">
      <alignment horizontal="center" vertical="center"/>
    </xf>
    <xf numFmtId="2" fontId="28" fillId="0" borderId="13" xfId="0" applyNumberFormat="1" applyFont="1" applyBorder="1" applyAlignment="1">
      <alignment horizontal="center" vertical="center"/>
    </xf>
    <xf numFmtId="167" fontId="29" fillId="0" borderId="0" xfId="0" applyNumberFormat="1" applyFont="1" applyAlignment="1">
      <alignment horizontal="center" vertical="center" wrapText="1"/>
    </xf>
    <xf numFmtId="165" fontId="28" fillId="0" borderId="0" xfId="0" applyNumberFormat="1" applyFont="1" applyAlignment="1">
      <alignment horizontal="left" vertical="center"/>
    </xf>
    <xf numFmtId="165" fontId="28" fillId="0" borderId="7" xfId="0" applyNumberFormat="1" applyFont="1" applyBorder="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2" xfId="0" applyFont="1" applyBorder="1" applyAlignment="1">
      <alignment horizontal="center" vertical="center"/>
    </xf>
    <xf numFmtId="0" fontId="2" fillId="0" borderId="0" xfId="0" applyFont="1" applyAlignment="1">
      <alignment vertical="center"/>
    </xf>
    <xf numFmtId="0" fontId="2" fillId="0" borderId="14" xfId="0" applyFont="1" applyBorder="1" applyProtection="1">
      <protection locked="0"/>
    </xf>
    <xf numFmtId="0" fontId="7" fillId="0" borderId="0" xfId="0" applyFont="1" applyAlignment="1">
      <alignment horizontal="center"/>
    </xf>
    <xf numFmtId="39" fontId="5" fillId="0" borderId="0" xfId="0" applyNumberFormat="1" applyFont="1" applyAlignment="1">
      <alignment horizontal="center"/>
    </xf>
    <xf numFmtId="0" fontId="3" fillId="0" borderId="0" xfId="3" applyFill="1" applyAlignment="1" applyProtection="1">
      <alignment vertical="center"/>
    </xf>
    <xf numFmtId="0" fontId="24" fillId="0" borderId="1" xfId="3" applyFont="1" applyFill="1" applyBorder="1" applyAlignment="1" applyProtection="1">
      <alignment horizontal="left" vertical="center"/>
    </xf>
    <xf numFmtId="0" fontId="24"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0" fontId="21" fillId="0" borderId="7" xfId="0" applyFont="1" applyBorder="1"/>
    <xf numFmtId="0" fontId="4" fillId="0" borderId="0" xfId="0" applyFont="1" applyAlignment="1">
      <alignment horizontal="center" vertical="top"/>
    </xf>
    <xf numFmtId="0" fontId="22" fillId="0" borderId="9" xfId="0" applyFont="1" applyBorder="1" applyAlignment="1">
      <alignment horizontal="left"/>
    </xf>
    <xf numFmtId="0" fontId="22" fillId="0" borderId="10" xfId="0" applyFont="1" applyBorder="1" applyAlignment="1">
      <alignment horizontal="left"/>
    </xf>
    <xf numFmtId="0" fontId="22" fillId="0" borderId="10" xfId="0" applyFont="1" applyBorder="1" applyAlignment="1">
      <alignment horizontal="center"/>
    </xf>
    <xf numFmtId="0" fontId="21" fillId="4" borderId="2" xfId="0" applyFont="1" applyFill="1" applyBorder="1"/>
    <xf numFmtId="167" fontId="7" fillId="2" borderId="19" xfId="0" applyNumberFormat="1" applyFont="1" applyFill="1" applyBorder="1" applyAlignment="1">
      <alignment horizontal="center" vertical="center"/>
    </xf>
    <xf numFmtId="0" fontId="7" fillId="2" borderId="7" xfId="0" applyFont="1" applyFill="1" applyBorder="1" applyAlignment="1">
      <alignment horizontal="left" vertical="center"/>
    </xf>
    <xf numFmtId="0" fontId="22" fillId="0" borderId="15" xfId="0" applyFont="1" applyBorder="1" applyAlignment="1">
      <alignment horizontal="left"/>
    </xf>
    <xf numFmtId="0" fontId="22" fillId="0" borderId="13" xfId="0" applyFont="1" applyBorder="1" applyAlignment="1">
      <alignment horizontal="left"/>
    </xf>
    <xf numFmtId="0" fontId="23" fillId="0" borderId="0" xfId="0" applyFont="1" applyAlignment="1">
      <alignment horizontal="center" vertical="top"/>
    </xf>
    <xf numFmtId="0" fontId="21" fillId="0" borderId="2" xfId="0" applyFont="1" applyBorder="1" applyAlignment="1">
      <alignment horizontal="center"/>
    </xf>
    <xf numFmtId="1" fontId="22" fillId="0" borderId="15" xfId="0" applyNumberFormat="1" applyFont="1" applyBorder="1" applyAlignment="1">
      <alignment horizontal="left"/>
    </xf>
    <xf numFmtId="0" fontId="22" fillId="5" borderId="13" xfId="0" applyFont="1" applyFill="1" applyBorder="1" applyAlignment="1">
      <alignment horizontal="center"/>
    </xf>
    <xf numFmtId="0" fontId="22" fillId="6" borderId="13" xfId="0" applyFont="1" applyFill="1" applyBorder="1" applyAlignment="1">
      <alignment horizontal="center"/>
    </xf>
    <xf numFmtId="0" fontId="22" fillId="0" borderId="13" xfId="0" applyFont="1" applyBorder="1" applyAlignment="1">
      <alignment horizontal="center"/>
    </xf>
    <xf numFmtId="2" fontId="22" fillId="0" borderId="13" xfId="0" applyNumberFormat="1" applyFont="1" applyBorder="1" applyAlignment="1">
      <alignment horizontal="left" vertical="center"/>
    </xf>
    <xf numFmtId="0" fontId="26" fillId="0" borderId="0" xfId="3" applyFont="1" applyFill="1" applyAlignment="1" applyProtection="1">
      <alignment vertical="center"/>
    </xf>
    <xf numFmtId="0" fontId="0" fillId="0" borderId="14" xfId="0" applyBorder="1"/>
    <xf numFmtId="0" fontId="2" fillId="0" borderId="14" xfId="0" applyFont="1" applyBorder="1"/>
    <xf numFmtId="0" fontId="0" fillId="0" borderId="0" xfId="0" applyAlignment="1">
      <alignment vertical="center"/>
    </xf>
    <xf numFmtId="43" fontId="2" fillId="4" borderId="19" xfId="0" applyNumberFormat="1" applyFont="1" applyFill="1" applyBorder="1" applyAlignment="1" applyProtection="1">
      <alignment horizontal="center"/>
      <protection locked="0"/>
    </xf>
    <xf numFmtId="0" fontId="2" fillId="4" borderId="28" xfId="0" applyFont="1" applyFill="1" applyBorder="1" applyProtection="1">
      <protection locked="0"/>
    </xf>
    <xf numFmtId="0" fontId="2" fillId="4" borderId="32" xfId="0" applyFont="1" applyFill="1" applyBorder="1" applyProtection="1">
      <protection locked="0"/>
    </xf>
    <xf numFmtId="0" fontId="2" fillId="4" borderId="19" xfId="0" applyFont="1" applyFill="1" applyBorder="1" applyAlignment="1">
      <alignment horizontal="center"/>
    </xf>
    <xf numFmtId="43" fontId="2" fillId="4" borderId="20" xfId="0" applyNumberFormat="1" applyFont="1" applyFill="1" applyBorder="1" applyProtection="1">
      <protection locked="0"/>
    </xf>
    <xf numFmtId="43" fontId="2" fillId="4" borderId="26" xfId="0" applyNumberFormat="1" applyFont="1" applyFill="1" applyBorder="1" applyProtection="1">
      <protection locked="0"/>
    </xf>
    <xf numFmtId="1" fontId="8" fillId="4" borderId="19" xfId="0" applyNumberFormat="1" applyFont="1" applyFill="1" applyBorder="1" applyAlignment="1" applyProtection="1">
      <alignment horizontal="center"/>
      <protection locked="0"/>
    </xf>
    <xf numFmtId="0" fontId="2" fillId="4" borderId="20" xfId="0" applyFont="1" applyFill="1" applyBorder="1" applyProtection="1">
      <protection locked="0"/>
    </xf>
    <xf numFmtId="0" fontId="2" fillId="4" borderId="26" xfId="0" applyFont="1" applyFill="1" applyBorder="1" applyProtection="1">
      <protection locked="0"/>
    </xf>
    <xf numFmtId="39" fontId="6" fillId="4" borderId="22" xfId="0" applyNumberFormat="1"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7" fontId="6" fillId="4" borderId="2" xfId="0" applyNumberFormat="1" applyFont="1" applyFill="1" applyBorder="1" applyAlignment="1" applyProtection="1">
      <alignment horizontal="center"/>
      <protection locked="0"/>
    </xf>
    <xf numFmtId="0" fontId="6" fillId="4" borderId="18" xfId="0" applyFont="1" applyFill="1" applyBorder="1" applyAlignment="1" applyProtection="1">
      <alignment horizontal="center"/>
      <protection locked="0"/>
    </xf>
    <xf numFmtId="168" fontId="6" fillId="4" borderId="18" xfId="0" applyNumberFormat="1" applyFont="1" applyFill="1" applyBorder="1" applyAlignment="1" applyProtection="1">
      <alignment horizontal="center"/>
      <protection locked="0"/>
    </xf>
    <xf numFmtId="39" fontId="35" fillId="4" borderId="18" xfId="0" applyNumberFormat="1" applyFont="1" applyFill="1" applyBorder="1" applyAlignment="1" applyProtection="1">
      <alignment horizontal="center"/>
      <protection locked="0"/>
    </xf>
    <xf numFmtId="164" fontId="6" fillId="4" borderId="22" xfId="0" applyNumberFormat="1" applyFont="1" applyFill="1" applyBorder="1" applyAlignment="1" applyProtection="1">
      <alignment horizontal="center"/>
      <protection locked="0"/>
    </xf>
    <xf numFmtId="39" fontId="6" fillId="4" borderId="24" xfId="0" applyNumberFormat="1" applyFont="1" applyFill="1" applyBorder="1" applyAlignment="1" applyProtection="1">
      <alignment horizontal="center"/>
      <protection locked="0"/>
    </xf>
    <xf numFmtId="0" fontId="6" fillId="4" borderId="2" xfId="0" applyFont="1" applyFill="1" applyBorder="1" applyAlignment="1">
      <alignment horizontal="left"/>
    </xf>
    <xf numFmtId="37" fontId="6" fillId="4" borderId="2" xfId="0" applyNumberFormat="1" applyFont="1" applyFill="1" applyBorder="1" applyAlignment="1" applyProtection="1">
      <alignment horizontal="center"/>
      <protection locked="0"/>
    </xf>
    <xf numFmtId="39" fontId="6" fillId="4" borderId="2" xfId="0" applyNumberFormat="1" applyFont="1" applyFill="1" applyBorder="1" applyAlignment="1" applyProtection="1">
      <alignment horizontal="center"/>
      <protection locked="0"/>
    </xf>
    <xf numFmtId="37" fontId="8" fillId="4" borderId="2" xfId="0" applyNumberFormat="1" applyFont="1" applyFill="1" applyBorder="1" applyAlignment="1" applyProtection="1">
      <alignment horizontal="center"/>
      <protection locked="0"/>
    </xf>
    <xf numFmtId="169" fontId="7" fillId="2" borderId="50" xfId="0" applyNumberFormat="1" applyFont="1" applyFill="1" applyBorder="1" applyAlignment="1">
      <alignment horizontal="center" vertical="center"/>
    </xf>
    <xf numFmtId="39" fontId="7" fillId="2" borderId="51" xfId="0" applyNumberFormat="1" applyFont="1" applyFill="1" applyBorder="1" applyAlignment="1">
      <alignment horizontal="left" vertical="center"/>
    </xf>
    <xf numFmtId="0" fontId="7" fillId="2" borderId="15" xfId="0" applyFont="1" applyFill="1" applyBorder="1"/>
    <xf numFmtId="0" fontId="2" fillId="2" borderId="13" xfId="0" applyFont="1" applyFill="1" applyBorder="1"/>
    <xf numFmtId="0" fontId="7" fillId="2" borderId="53" xfId="0" applyFont="1" applyFill="1" applyBorder="1"/>
    <xf numFmtId="0" fontId="2" fillId="2" borderId="54" xfId="0" applyFont="1" applyFill="1" applyBorder="1"/>
    <xf numFmtId="0" fontId="4" fillId="2" borderId="54" xfId="0" applyFont="1" applyFill="1" applyBorder="1"/>
    <xf numFmtId="0" fontId="2" fillId="2" borderId="55" xfId="0" applyFont="1" applyFill="1" applyBorder="1"/>
    <xf numFmtId="0" fontId="7" fillId="2" borderId="48" xfId="0" applyFont="1" applyFill="1" applyBorder="1"/>
    <xf numFmtId="0" fontId="7" fillId="2" borderId="56" xfId="0" applyFont="1" applyFill="1" applyBorder="1"/>
    <xf numFmtId="0" fontId="7" fillId="2" borderId="50" xfId="0" applyFont="1" applyFill="1" applyBorder="1"/>
    <xf numFmtId="0" fontId="7" fillId="2" borderId="57" xfId="0" applyFont="1" applyFill="1" applyBorder="1"/>
    <xf numFmtId="0" fontId="7" fillId="2" borderId="58" xfId="0" applyFont="1" applyFill="1" applyBorder="1"/>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4" borderId="2" xfId="0" applyFont="1" applyFill="1" applyBorder="1" applyAlignment="1" applyProtection="1">
      <alignment horizontal="center"/>
      <protection locked="0"/>
    </xf>
    <xf numFmtId="0" fontId="7" fillId="4" borderId="18" xfId="0" applyFont="1" applyFill="1" applyBorder="1" applyAlignment="1" applyProtection="1">
      <alignment horizontal="center"/>
      <protection locked="0"/>
    </xf>
    <xf numFmtId="44" fontId="10" fillId="2" borderId="4" xfId="1" applyFont="1" applyFill="1" applyBorder="1" applyAlignment="1" applyProtection="1">
      <alignment horizontal="center" vertical="center"/>
    </xf>
    <xf numFmtId="44" fontId="10" fillId="2" borderId="8" xfId="1" applyFont="1" applyFill="1" applyBorder="1" applyAlignment="1" applyProtection="1">
      <alignment horizontal="center" vertical="center"/>
    </xf>
    <xf numFmtId="44" fontId="10" fillId="2" borderId="3" xfId="1" applyFont="1" applyFill="1" applyBorder="1" applyAlignment="1" applyProtection="1">
      <alignment horizontal="center" vertical="center"/>
    </xf>
    <xf numFmtId="0" fontId="2" fillId="0" borderId="28" xfId="0" applyFont="1" applyBorder="1" applyAlignment="1">
      <alignment horizontal="center"/>
    </xf>
    <xf numFmtId="0" fontId="7" fillId="2" borderId="2" xfId="0" applyFont="1" applyFill="1" applyBorder="1" applyAlignment="1">
      <alignment horizontal="right"/>
    </xf>
    <xf numFmtId="0" fontId="6" fillId="4" borderId="2" xfId="0" applyFont="1" applyFill="1" applyBorder="1" applyAlignment="1" applyProtection="1">
      <alignment horizontal="left"/>
      <protection locked="0"/>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21" xfId="0" applyFont="1" applyFill="1" applyBorder="1" applyAlignment="1">
      <alignment horizontal="left" vertical="center"/>
    </xf>
    <xf numFmtId="0" fontId="7" fillId="4" borderId="16" xfId="0" applyFont="1" applyFill="1" applyBorder="1" applyAlignment="1" applyProtection="1">
      <alignment horizontal="center"/>
      <protection locked="0"/>
    </xf>
    <xf numFmtId="0" fontId="7" fillId="4" borderId="17" xfId="0" applyFont="1" applyFill="1" applyBorder="1" applyAlignment="1" applyProtection="1">
      <alignment horizontal="center"/>
      <protection locked="0"/>
    </xf>
    <xf numFmtId="0" fontId="7" fillId="2" borderId="5" xfId="0" applyFont="1" applyFill="1" applyBorder="1" applyAlignment="1">
      <alignment horizontal="left" vertical="center"/>
    </xf>
    <xf numFmtId="0" fontId="7" fillId="2" borderId="14" xfId="0" applyFont="1" applyFill="1" applyBorder="1" applyAlignment="1">
      <alignment horizontal="left" vertical="center"/>
    </xf>
    <xf numFmtId="0" fontId="7" fillId="4" borderId="22" xfId="0" applyFont="1" applyFill="1" applyBorder="1" applyAlignment="1" applyProtection="1">
      <alignment horizontal="center"/>
      <protection locked="0"/>
    </xf>
    <xf numFmtId="0" fontId="7" fillId="4" borderId="23" xfId="0" applyFont="1" applyFill="1" applyBorder="1" applyAlignment="1" applyProtection="1">
      <alignment horizontal="center"/>
      <protection locked="0"/>
    </xf>
    <xf numFmtId="0" fontId="7" fillId="2" borderId="9" xfId="0" applyFont="1" applyFill="1" applyBorder="1" applyAlignment="1">
      <alignment horizontal="left"/>
    </xf>
    <xf numFmtId="0" fontId="7" fillId="2" borderId="10" xfId="0" applyFont="1" applyFill="1" applyBorder="1" applyAlignment="1">
      <alignment horizontal="left"/>
    </xf>
    <xf numFmtId="9" fontId="7" fillId="2" borderId="2" xfId="0" applyNumberFormat="1" applyFont="1" applyFill="1" applyBorder="1" applyAlignment="1">
      <alignment horizontal="center" vertical="center"/>
    </xf>
    <xf numFmtId="9" fontId="7" fillId="2" borderId="18"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164" fontId="7" fillId="4" borderId="56" xfId="0" applyNumberFormat="1" applyFont="1" applyFill="1" applyBorder="1" applyAlignment="1" applyProtection="1">
      <alignment horizontal="center"/>
      <protection locked="0"/>
    </xf>
    <xf numFmtId="164" fontId="7" fillId="4" borderId="49" xfId="0" applyNumberFormat="1" applyFont="1" applyFill="1" applyBorder="1" applyAlignment="1" applyProtection="1">
      <alignment horizontal="center"/>
      <protection locked="0"/>
    </xf>
    <xf numFmtId="0" fontId="7" fillId="2" borderId="27" xfId="0" applyFont="1" applyFill="1" applyBorder="1" applyAlignment="1">
      <alignment horizontal="left" vertical="center"/>
    </xf>
    <xf numFmtId="0" fontId="7" fillId="2" borderId="20" xfId="0" applyFont="1" applyFill="1" applyBorder="1" applyAlignment="1">
      <alignment horizontal="left" vertical="center"/>
    </xf>
    <xf numFmtId="166" fontId="7" fillId="2" borderId="2" xfId="0" applyNumberFormat="1" applyFont="1" applyFill="1" applyBorder="1" applyAlignment="1">
      <alignment horizontal="center" wrapText="1"/>
    </xf>
    <xf numFmtId="166" fontId="7" fillId="2" borderId="18" xfId="0" applyNumberFormat="1" applyFont="1" applyFill="1" applyBorder="1" applyAlignment="1">
      <alignment horizontal="center" wrapText="1"/>
    </xf>
    <xf numFmtId="9" fontId="7" fillId="2" borderId="2" xfId="0" applyNumberFormat="1" applyFont="1" applyFill="1" applyBorder="1" applyAlignment="1">
      <alignment horizontal="center"/>
    </xf>
    <xf numFmtId="9" fontId="7" fillId="2" borderId="18" xfId="0" applyNumberFormat="1" applyFont="1" applyFill="1" applyBorder="1" applyAlignment="1">
      <alignment horizontal="center"/>
    </xf>
    <xf numFmtId="167" fontId="2" fillId="0" borderId="0" xfId="0" applyNumberFormat="1" applyFont="1" applyAlignment="1">
      <alignment horizontal="center"/>
    </xf>
    <xf numFmtId="167" fontId="2" fillId="0" borderId="7" xfId="0" applyNumberFormat="1" applyFont="1" applyBorder="1" applyAlignment="1">
      <alignment horizontal="center"/>
    </xf>
    <xf numFmtId="0" fontId="7" fillId="2" borderId="27" xfId="0" applyFont="1" applyFill="1" applyBorder="1" applyAlignment="1">
      <alignment horizontal="left"/>
    </xf>
    <xf numFmtId="0" fontId="7" fillId="2" borderId="20" xfId="0" applyFont="1" applyFill="1" applyBorder="1" applyAlignment="1">
      <alignment horizontal="left"/>
    </xf>
    <xf numFmtId="0" fontId="2" fillId="0" borderId="0" xfId="0" applyFont="1" applyAlignment="1">
      <alignment horizontal="center" vertical="center"/>
    </xf>
    <xf numFmtId="0" fontId="2" fillId="0" borderId="7" xfId="0" applyFont="1" applyBorder="1" applyAlignment="1">
      <alignment horizontal="center" vertical="center"/>
    </xf>
    <xf numFmtId="165" fontId="27" fillId="2" borderId="56" xfId="0" applyNumberFormat="1" applyFont="1" applyFill="1" applyBorder="1" applyAlignment="1">
      <alignment horizontal="center"/>
    </xf>
    <xf numFmtId="165" fontId="27" fillId="2" borderId="49" xfId="0" applyNumberFormat="1" applyFont="1" applyFill="1" applyBorder="1" applyAlignment="1">
      <alignment horizontal="center"/>
    </xf>
    <xf numFmtId="0" fontId="10" fillId="2" borderId="5" xfId="0" applyFont="1" applyFill="1" applyBorder="1" applyAlignment="1">
      <alignment horizontal="center" vertical="center"/>
    </xf>
    <xf numFmtId="0" fontId="39" fillId="0" borderId="14" xfId="0" applyFont="1" applyBorder="1" applyAlignment="1">
      <alignment vertical="center"/>
    </xf>
    <xf numFmtId="0" fontId="39" fillId="0" borderId="6" xfId="0" applyFont="1" applyBorder="1" applyAlignment="1">
      <alignment vertical="center"/>
    </xf>
    <xf numFmtId="165" fontId="7" fillId="2" borderId="19" xfId="0" applyNumberFormat="1" applyFont="1" applyFill="1" applyBorder="1" applyAlignment="1">
      <alignment horizontal="center" vertical="center"/>
    </xf>
    <xf numFmtId="165" fontId="7" fillId="2" borderId="20" xfId="0" applyNumberFormat="1" applyFont="1" applyFill="1" applyBorder="1" applyAlignment="1">
      <alignment horizontal="center" vertical="center"/>
    </xf>
    <xf numFmtId="165" fontId="7" fillId="2" borderId="26" xfId="0" applyNumberFormat="1" applyFont="1" applyFill="1" applyBorder="1" applyAlignment="1">
      <alignment horizontal="center" vertical="center"/>
    </xf>
    <xf numFmtId="169" fontId="25" fillId="2" borderId="2" xfId="0" applyNumberFormat="1" applyFont="1" applyFill="1" applyBorder="1" applyAlignment="1">
      <alignment horizontal="center"/>
    </xf>
    <xf numFmtId="169" fontId="25" fillId="2" borderId="18" xfId="0" applyNumberFormat="1" applyFont="1" applyFill="1" applyBorder="1" applyAlignment="1">
      <alignment horizontal="center"/>
    </xf>
    <xf numFmtId="39" fontId="25" fillId="2" borderId="52" xfId="0" applyNumberFormat="1" applyFont="1" applyFill="1" applyBorder="1" applyAlignment="1">
      <alignment horizontal="center"/>
    </xf>
    <xf numFmtId="39" fontId="25" fillId="2" borderId="45" xfId="0" applyNumberFormat="1" applyFont="1" applyFill="1" applyBorder="1" applyAlignment="1">
      <alignment horizontal="center"/>
    </xf>
    <xf numFmtId="39" fontId="25" fillId="2" borderId="44" xfId="0" applyNumberFormat="1" applyFont="1" applyFill="1" applyBorder="1" applyAlignment="1">
      <alignment horizontal="center"/>
    </xf>
    <xf numFmtId="0" fontId="14" fillId="2" borderId="9" xfId="3" applyFont="1" applyFill="1" applyBorder="1" applyAlignment="1" applyProtection="1">
      <alignment horizontal="left" vertical="center"/>
    </xf>
    <xf numFmtId="0" fontId="14" fillId="2" borderId="10" xfId="3" applyFont="1" applyFill="1" applyBorder="1" applyAlignment="1" applyProtection="1">
      <alignment horizontal="left" vertical="center"/>
    </xf>
    <xf numFmtId="164" fontId="7" fillId="4" borderId="2" xfId="0" applyNumberFormat="1" applyFont="1" applyFill="1" applyBorder="1" applyAlignment="1" applyProtection="1">
      <alignment horizontal="center"/>
      <protection locked="0"/>
    </xf>
    <xf numFmtId="0" fontId="4" fillId="4" borderId="18" xfId="0" applyFont="1" applyFill="1" applyBorder="1" applyProtection="1">
      <protection locked="0"/>
    </xf>
    <xf numFmtId="0" fontId="4" fillId="2" borderId="9" xfId="0" applyFont="1" applyFill="1" applyBorder="1" applyAlignment="1">
      <alignment horizontal="left"/>
    </xf>
    <xf numFmtId="0" fontId="4" fillId="2" borderId="10" xfId="0" applyFont="1" applyFill="1" applyBorder="1" applyAlignment="1">
      <alignment horizontal="left"/>
    </xf>
    <xf numFmtId="0" fontId="8" fillId="9" borderId="4"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 fillId="4" borderId="4" xfId="0" applyFont="1" applyFill="1" applyBorder="1" applyAlignment="1">
      <alignment horizontal="center"/>
    </xf>
    <xf numFmtId="0" fontId="6" fillId="4" borderId="3" xfId="0" applyFont="1" applyFill="1" applyBorder="1" applyAlignment="1">
      <alignment horizontal="center"/>
    </xf>
  </cellXfs>
  <cellStyles count="4">
    <cellStyle name="Comma" xfId="2" builtinId="3"/>
    <cellStyle name="Currency" xfId="1" builtinId="4"/>
    <cellStyle name="Hyperlink 2" xfId="3" xr:uid="{413C4261-7735-4D51-9BA6-76288377C0FD}"/>
    <cellStyle name="Normal" xfId="0" builtinId="0"/>
  </cellStyles>
  <dxfs count="0"/>
  <tableStyles count="0" defaultTableStyle="TableStyleMedium9" defaultPivotStyle="PivotStyleLight16"/>
  <colors>
    <mruColors>
      <color rgb="FFFFFF99"/>
      <color rgb="FF0000FF"/>
      <color rgb="FFFFFF66"/>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31749</xdr:colOff>
      <xdr:row>5</xdr:row>
      <xdr:rowOff>38098</xdr:rowOff>
    </xdr:from>
    <xdr:to>
      <xdr:col>19</xdr:col>
      <xdr:colOff>419100</xdr:colOff>
      <xdr:row>23</xdr:row>
      <xdr:rowOff>123825</xdr:rowOff>
    </xdr:to>
    <xdr:sp macro="" textlink="">
      <xdr:nvSpPr>
        <xdr:cNvPr id="3" name="TextBox 2">
          <a:extLst>
            <a:ext uri="{FF2B5EF4-FFF2-40B4-BE49-F238E27FC236}">
              <a16:creationId xmlns:a16="http://schemas.microsoft.com/office/drawing/2014/main" id="{896E484F-4FAC-4271-A964-37C091B7CB2A}"/>
            </a:ext>
          </a:extLst>
        </xdr:cNvPr>
        <xdr:cNvSpPr txBox="1"/>
      </xdr:nvSpPr>
      <xdr:spPr>
        <a:xfrm>
          <a:off x="6175374" y="904873"/>
          <a:ext cx="9655176" cy="339090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Option 1- Metered Instructions - E</a:t>
          </a:r>
          <a:r>
            <a:rPr lang="en-US" sz="1050" baseline="0"/>
            <a:t>nter info gathered from metering the room air conditioner. </a:t>
          </a:r>
          <a:br>
            <a:rPr lang="en-US" sz="1050"/>
          </a:br>
          <a:r>
            <a:rPr lang="en-US" sz="1050" b="1"/>
            <a:t>Time Metered </a:t>
          </a:r>
          <a:r>
            <a:rPr lang="en-US" sz="1050"/>
            <a:t>- Enter the time</a:t>
          </a:r>
          <a:r>
            <a:rPr lang="en-US" sz="1050" baseline="0"/>
            <a:t> observed from the energy consumption meter in cell B10. </a:t>
          </a:r>
          <a:br>
            <a:rPr lang="en-US" sz="1050" baseline="0"/>
          </a:br>
          <a:r>
            <a:rPr lang="en-US" sz="1050" baseline="0"/>
            <a:t>• Example (2 hours and 15 min = 75) </a:t>
          </a:r>
          <a:br>
            <a:rPr lang="en-US" sz="1050" baseline="0"/>
          </a:br>
          <a:br>
            <a:rPr lang="en-US" sz="1050" baseline="0"/>
          </a:br>
          <a:r>
            <a:rPr lang="en-US" sz="1050" b="1" baseline="0"/>
            <a:t>kWh Reading- </a:t>
          </a:r>
          <a:r>
            <a:rPr lang="en-US" sz="1050" baseline="0"/>
            <a:t>Enter the kWh observed from metering device in cell B11. </a:t>
          </a:r>
          <a:br>
            <a:rPr lang="en-US" sz="1050" baseline="0"/>
          </a:br>
          <a:r>
            <a:rPr lang="en-US" sz="1050" baseline="0"/>
            <a:t>•  Must need to verification of metering (picutre) in Client File for Review.</a:t>
          </a:r>
          <a:br>
            <a:rPr lang="en-US" sz="1050" baseline="0"/>
          </a:br>
          <a:br>
            <a:rPr lang="en-US" sz="1050" baseline="0"/>
          </a:br>
          <a:r>
            <a:rPr lang="en-US" sz="1050" baseline="0"/>
            <a:t>• </a:t>
          </a:r>
          <a:r>
            <a:rPr lang="en-US" sz="1050" b="1" baseline="0"/>
            <a:t>Statewide Average- </a:t>
          </a:r>
          <a:r>
            <a:rPr lang="en-US" sz="1050" baseline="0"/>
            <a:t>This will be the statewide average for the applicable program year. </a:t>
          </a:r>
          <a:br>
            <a:rPr lang="en-US" sz="1050" baseline="0"/>
          </a:br>
          <a:br>
            <a:rPr lang="en-US" sz="1050" baseline="0"/>
          </a:br>
          <a:r>
            <a:rPr lang="en-US" sz="1050" baseline="0"/>
            <a:t>• </a:t>
          </a:r>
          <a:r>
            <a:rPr lang="en-US" sz="1050" b="1" baseline="0"/>
            <a:t>Annual Usage (Yellow Box) </a:t>
          </a:r>
          <a:r>
            <a:rPr lang="en-US" sz="1050" baseline="0"/>
            <a:t>- Enter the replacement RAC's annual kWh. Usage. This is commonly found on the Energy Guide of the new unit. if only the $$ is listed, divide that amount by the applicable statewide average electricity rate found within Weatherization Assistant Fuel Cost Library. </a:t>
          </a:r>
          <a:br>
            <a:rPr lang="en-US" sz="1050" baseline="0"/>
          </a:br>
          <a:br>
            <a:rPr lang="en-US" sz="1050" baseline="0"/>
          </a:br>
          <a:r>
            <a:rPr lang="en-US" sz="1050" baseline="0"/>
            <a:t>• </a:t>
          </a:r>
          <a:r>
            <a:rPr lang="en-US" sz="1050" b="1" baseline="0"/>
            <a:t>Cost of Replacement- </a:t>
          </a:r>
          <a:r>
            <a:rPr lang="en-US" sz="1050" baseline="0"/>
            <a:t>Enter the cost for the new room air conditioner, the cost should include (Lab/Material + Cost to recycle the exisiting unit)</a:t>
          </a:r>
          <a:br>
            <a:rPr lang="en-US" sz="1050" baseline="0"/>
          </a:br>
          <a:br>
            <a:rPr lang="en-US" sz="1050" baseline="0"/>
          </a:br>
          <a:r>
            <a:rPr lang="en-US" sz="1050" b="1" baseline="0"/>
            <a:t>Results are shown as follows</a:t>
          </a:r>
          <a:br>
            <a:rPr lang="en-US" sz="1050" baseline="0"/>
          </a:br>
          <a:r>
            <a:rPr lang="en-US" sz="1050" baseline="0"/>
            <a:t>Annual Savings: Savings the client may expect annually. </a:t>
          </a:r>
          <a:br>
            <a:rPr lang="en-US" sz="1050" baseline="0"/>
          </a:br>
          <a:r>
            <a:rPr lang="en-US" sz="1050" baseline="0"/>
            <a:t>Expected Life Savings: The Savings expected over the next 15 years if the unit is kept in good working condition. </a:t>
          </a:r>
          <a:br>
            <a:rPr lang="en-US" sz="1050" baseline="0"/>
          </a:br>
          <a:br>
            <a:rPr lang="en-US" sz="1100" baseline="0"/>
          </a:br>
          <a:r>
            <a:rPr lang="en-US" sz="1100" b="1" baseline="0"/>
            <a:t>Savings to Investment Ratio (SIR</a:t>
          </a:r>
          <a:r>
            <a:rPr lang="en-US" sz="1100" baseline="0"/>
            <a:t>): The energy savings over the life of the replacement RAC divided by the installed cost(s). </a:t>
          </a:r>
          <a:br>
            <a:rPr lang="en-US" sz="1100" baseline="0"/>
          </a:br>
          <a:r>
            <a:rPr lang="en-US" sz="1100" baseline="0"/>
            <a:t>SIRs greater than or equal to one are cost effective. If the SIR is less than one, the replacement is not cost effective. </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uilding-center.org/" TargetMode="External"/><Relationship Id="rId2" Type="http://schemas.openxmlformats.org/officeDocument/2006/relationships/hyperlink" Target="http://www.nrel.gov/docs/fy06osti/38238.pdf" TargetMode="External"/><Relationship Id="rId1" Type="http://schemas.openxmlformats.org/officeDocument/2006/relationships/hyperlink" Target="http://www.nrel.gov/docs/fy06osti/38238.pdf" TargetMode="External"/><Relationship Id="rId5" Type="http://schemas.openxmlformats.org/officeDocument/2006/relationships/printerSettings" Target="../printerSettings/printerSettings1.bin"/><Relationship Id="rId4" Type="http://schemas.openxmlformats.org/officeDocument/2006/relationships/hyperlink" Target="https://www.energy.gov/scep/wap/articles/weatherization-program-notice-23-6-revised-energy-audit-approval-procedur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AF14-F05C-4076-8555-C3CFD94D42FD}">
  <dimension ref="A1:AH62"/>
  <sheetViews>
    <sheetView showGridLines="0" tabSelected="1" topLeftCell="A2" zoomScaleNormal="100" workbookViewId="0">
      <selection activeCell="H29" activeCellId="1" sqref="H7:J7 H29:J29"/>
    </sheetView>
  </sheetViews>
  <sheetFormatPr defaultColWidth="2.1796875" defaultRowHeight="16.5" customHeight="1" x14ac:dyDescent="0.3"/>
  <cols>
    <col min="1" max="6" width="9.1796875" style="7" customWidth="1"/>
    <col min="7" max="7" width="9.26953125" style="7" bestFit="1" customWidth="1"/>
    <col min="8" max="10" width="18.26953125" style="7" customWidth="1"/>
    <col min="11" max="11" width="5.7265625" style="7" customWidth="1"/>
    <col min="12" max="12" width="4.7265625" style="7" customWidth="1"/>
    <col min="13" max="20" width="9.1796875" style="7" customWidth="1"/>
    <col min="21" max="21" width="18.7265625" style="7" customWidth="1"/>
    <col min="22" max="22" width="81.81640625" style="7" bestFit="1" customWidth="1"/>
    <col min="23" max="23" width="9" style="8" bestFit="1" customWidth="1"/>
    <col min="24" max="24" width="3" style="8" customWidth="1"/>
    <col min="25" max="25" width="143.54296875" style="8" bestFit="1" customWidth="1"/>
    <col min="26" max="26" width="8.7265625" style="8" bestFit="1" customWidth="1"/>
    <col min="27" max="27" width="7.81640625" style="8" bestFit="1" customWidth="1"/>
    <col min="28" max="28" width="9" style="8" bestFit="1" customWidth="1"/>
    <col min="29" max="29" width="6" style="8" customWidth="1"/>
    <col min="30" max="30" width="12.26953125" style="7" bestFit="1" customWidth="1"/>
    <col min="31" max="31" width="10.7265625" style="7" bestFit="1" customWidth="1"/>
    <col min="32" max="32" width="3.54296875" style="7" customWidth="1"/>
    <col min="33" max="252" width="9.1796875" style="7" customWidth="1"/>
    <col min="253" max="253" width="32.81640625" style="7" customWidth="1"/>
    <col min="254" max="254" width="12.81640625" style="7" customWidth="1"/>
    <col min="255" max="255" width="9.26953125" style="7" bestFit="1" customWidth="1"/>
    <col min="256" max="256" width="12.81640625" style="7" customWidth="1"/>
    <col min="257" max="257" width="17.26953125" style="7" customWidth="1"/>
    <col min="258" max="16384" width="2.1796875" style="7"/>
  </cols>
  <sheetData>
    <row r="1" spans="1:34" ht="16.5" customHeight="1" thickBot="1" x14ac:dyDescent="0.4">
      <c r="A1" s="245" t="s">
        <v>81</v>
      </c>
      <c r="B1" s="246"/>
      <c r="C1" s="246"/>
      <c r="D1" s="246"/>
      <c r="E1" s="246"/>
      <c r="F1" s="246"/>
      <c r="G1" s="246"/>
      <c r="H1" s="246"/>
      <c r="I1" s="246"/>
      <c r="J1" s="247"/>
      <c r="K1" s="4"/>
      <c r="L1" s="3" t="s">
        <v>52</v>
      </c>
      <c r="V1" s="6" t="s">
        <v>63</v>
      </c>
      <c r="Y1" s="6" t="s">
        <v>64</v>
      </c>
      <c r="AD1" s="6" t="s">
        <v>65</v>
      </c>
    </row>
    <row r="2" spans="1:34" ht="15.65" customHeight="1" x14ac:dyDescent="0.3">
      <c r="A2" s="248"/>
      <c r="B2" s="248"/>
      <c r="C2" s="248"/>
      <c r="D2" s="248"/>
      <c r="E2" s="248"/>
      <c r="F2" s="248"/>
      <c r="G2" s="248"/>
      <c r="H2" s="248"/>
      <c r="I2" s="248"/>
      <c r="J2" s="248"/>
      <c r="K2" s="136"/>
      <c r="V2" s="13" t="s">
        <v>51</v>
      </c>
      <c r="W2" s="10" t="s">
        <v>50</v>
      </c>
      <c r="Y2" s="2" t="s">
        <v>49</v>
      </c>
      <c r="Z2" s="1" t="s">
        <v>48</v>
      </c>
      <c r="AA2" s="1" t="s">
        <v>47</v>
      </c>
      <c r="AB2" s="1" t="s">
        <v>46</v>
      </c>
      <c r="AD2" s="1" t="s">
        <v>53</v>
      </c>
      <c r="AE2" s="1" t="s">
        <v>54</v>
      </c>
      <c r="AG2" s="137"/>
      <c r="AH2" s="137"/>
    </row>
    <row r="3" spans="1:34" ht="15.65" customHeight="1" x14ac:dyDescent="0.35">
      <c r="A3" s="249" t="s">
        <v>45</v>
      </c>
      <c r="B3" s="249"/>
      <c r="C3" s="250"/>
      <c r="D3" s="250"/>
      <c r="E3" s="250"/>
      <c r="F3" s="250"/>
      <c r="G3" s="250"/>
      <c r="H3" s="249" t="s">
        <v>37</v>
      </c>
      <c r="I3" s="249"/>
      <c r="J3" s="26"/>
      <c r="K3" s="8"/>
      <c r="L3" s="9" t="s">
        <v>36</v>
      </c>
      <c r="M3" s="9"/>
      <c r="N3" s="9"/>
      <c r="O3" s="9"/>
      <c r="P3" s="9"/>
      <c r="Q3" s="9"/>
      <c r="R3" s="9"/>
      <c r="S3" s="9"/>
      <c r="T3" s="9"/>
      <c r="U3" s="9"/>
      <c r="V3" s="13" t="s">
        <v>44</v>
      </c>
      <c r="W3" s="10">
        <v>90</v>
      </c>
      <c r="Y3" s="12" t="s">
        <v>55</v>
      </c>
      <c r="Z3" s="10">
        <v>14</v>
      </c>
      <c r="AA3" s="10">
        <v>10.5</v>
      </c>
      <c r="AB3" s="10"/>
      <c r="AD3" s="10" t="s">
        <v>66</v>
      </c>
      <c r="AE3" s="10">
        <v>6.5</v>
      </c>
    </row>
    <row r="4" spans="1:34" ht="15.65" customHeight="1" x14ac:dyDescent="0.35">
      <c r="A4" s="249" t="s">
        <v>42</v>
      </c>
      <c r="B4" s="249"/>
      <c r="C4" s="250"/>
      <c r="D4" s="250"/>
      <c r="E4" s="250"/>
      <c r="F4" s="250"/>
      <c r="G4" s="250"/>
      <c r="H4" s="251"/>
      <c r="I4" s="252"/>
      <c r="J4" s="252"/>
      <c r="K4" s="138"/>
      <c r="L4" s="129" t="s">
        <v>174</v>
      </c>
      <c r="M4" s="139" t="s">
        <v>83</v>
      </c>
      <c r="N4" s="9"/>
      <c r="O4" s="9"/>
      <c r="P4" s="9"/>
      <c r="Q4" s="9"/>
      <c r="R4" s="9"/>
      <c r="S4" s="9"/>
      <c r="T4" s="9"/>
      <c r="U4" s="9"/>
      <c r="V4" s="13" t="s">
        <v>41</v>
      </c>
      <c r="W4" s="10">
        <v>80</v>
      </c>
      <c r="Y4" s="12" t="s">
        <v>56</v>
      </c>
      <c r="Z4" s="10">
        <v>12</v>
      </c>
      <c r="AA4" s="10">
        <v>10.8</v>
      </c>
      <c r="AB4" s="10"/>
      <c r="AD4" s="10">
        <v>1980</v>
      </c>
      <c r="AE4" s="10">
        <v>6.5</v>
      </c>
    </row>
    <row r="5" spans="1:34" ht="16.5" customHeight="1" thickBot="1" x14ac:dyDescent="0.4">
      <c r="A5" s="253"/>
      <c r="B5" s="253"/>
      <c r="C5" s="253"/>
      <c r="D5" s="253"/>
      <c r="E5" s="253"/>
      <c r="F5" s="253"/>
      <c r="G5" s="253"/>
      <c r="H5" s="253"/>
      <c r="I5" s="253"/>
      <c r="J5" s="253"/>
      <c r="K5" s="140"/>
      <c r="L5" s="129" t="s">
        <v>174</v>
      </c>
      <c r="M5" s="139" t="s">
        <v>84</v>
      </c>
      <c r="N5" s="9"/>
      <c r="O5" s="9"/>
      <c r="P5" s="9"/>
      <c r="Q5" s="9"/>
      <c r="R5" s="9"/>
      <c r="S5" s="9"/>
      <c r="T5" s="9"/>
      <c r="U5" s="9"/>
      <c r="V5" s="13" t="s">
        <v>39</v>
      </c>
      <c r="W5" s="10">
        <v>78</v>
      </c>
      <c r="Y5" s="12" t="s">
        <v>57</v>
      </c>
      <c r="Z5" s="10">
        <v>10</v>
      </c>
      <c r="AA5" s="10">
        <v>9.3000000000000007</v>
      </c>
      <c r="AB5" s="10"/>
      <c r="AD5" s="10">
        <v>1981</v>
      </c>
      <c r="AE5" s="10">
        <v>8</v>
      </c>
    </row>
    <row r="6" spans="1:34" ht="16.5" customHeight="1" thickBot="1" x14ac:dyDescent="0.4">
      <c r="A6" s="254" t="s">
        <v>31</v>
      </c>
      <c r="B6" s="255"/>
      <c r="C6" s="255"/>
      <c r="D6" s="255"/>
      <c r="E6" s="255"/>
      <c r="F6" s="255"/>
      <c r="G6" s="256"/>
      <c r="H6" s="257" t="s">
        <v>104</v>
      </c>
      <c r="I6" s="257"/>
      <c r="J6" s="258"/>
      <c r="L6" s="9" t="s">
        <v>8</v>
      </c>
      <c r="M6" s="9"/>
      <c r="N6" s="9"/>
      <c r="O6" s="9"/>
      <c r="P6" s="9"/>
      <c r="Q6" s="9"/>
      <c r="R6" s="9"/>
      <c r="S6" s="9"/>
      <c r="T6" s="9"/>
      <c r="U6" s="9"/>
      <c r="V6" s="13" t="s">
        <v>35</v>
      </c>
      <c r="W6" s="10">
        <v>75</v>
      </c>
      <c r="Y6" s="12" t="s">
        <v>58</v>
      </c>
      <c r="Z6" s="10">
        <v>8</v>
      </c>
      <c r="AA6" s="10">
        <v>7.7</v>
      </c>
      <c r="AB6" s="10"/>
      <c r="AD6" s="10">
        <v>1982</v>
      </c>
      <c r="AE6" s="10">
        <v>8</v>
      </c>
    </row>
    <row r="7" spans="1:34" ht="16.5" customHeight="1" x14ac:dyDescent="0.35">
      <c r="A7" s="259" t="s">
        <v>69</v>
      </c>
      <c r="B7" s="260"/>
      <c r="C7" s="260"/>
      <c r="D7" s="260"/>
      <c r="E7" s="260"/>
      <c r="F7" s="260"/>
      <c r="G7" s="260"/>
      <c r="H7" s="261" t="s">
        <v>103</v>
      </c>
      <c r="I7" s="261"/>
      <c r="J7" s="262"/>
      <c r="L7" s="130" t="s">
        <v>174</v>
      </c>
      <c r="M7" s="11" t="s">
        <v>73</v>
      </c>
      <c r="N7" s="9"/>
      <c r="O7" s="9"/>
      <c r="P7" s="9"/>
      <c r="Q7" s="9"/>
      <c r="R7" s="9"/>
      <c r="S7" s="9"/>
      <c r="T7" s="9"/>
      <c r="U7" s="9"/>
      <c r="V7" s="13" t="s">
        <v>33</v>
      </c>
      <c r="W7" s="10">
        <v>64</v>
      </c>
      <c r="Y7" s="12" t="s">
        <v>59</v>
      </c>
      <c r="Z7" s="10">
        <v>6.5</v>
      </c>
      <c r="AA7" s="10">
        <v>6.4</v>
      </c>
      <c r="AB7" s="10"/>
      <c r="AD7" s="10">
        <v>1983</v>
      </c>
      <c r="AE7" s="10">
        <v>8</v>
      </c>
    </row>
    <row r="8" spans="1:34" ht="16.5" customHeight="1" x14ac:dyDescent="0.35">
      <c r="A8" s="241" t="s">
        <v>70</v>
      </c>
      <c r="B8" s="242"/>
      <c r="C8" s="242"/>
      <c r="D8" s="242"/>
      <c r="E8" s="242"/>
      <c r="F8" s="242"/>
      <c r="G8" s="242"/>
      <c r="H8" s="243" t="s">
        <v>102</v>
      </c>
      <c r="I8" s="243"/>
      <c r="J8" s="244"/>
      <c r="K8" s="141"/>
      <c r="L8" s="130" t="s">
        <v>174</v>
      </c>
      <c r="M8" s="11" t="s">
        <v>74</v>
      </c>
      <c r="N8" s="9"/>
      <c r="O8" s="9"/>
      <c r="P8" s="9"/>
      <c r="Q8" s="9"/>
      <c r="R8" s="9"/>
      <c r="S8" s="9"/>
      <c r="T8" s="9"/>
      <c r="U8" s="9"/>
      <c r="V8" s="13" t="s">
        <v>30</v>
      </c>
      <c r="W8" s="10">
        <v>80</v>
      </c>
      <c r="Y8" s="12" t="s">
        <v>60</v>
      </c>
      <c r="Z8" s="10">
        <v>14</v>
      </c>
      <c r="AA8" s="10">
        <v>10.5</v>
      </c>
      <c r="AB8" s="10">
        <v>8</v>
      </c>
      <c r="AD8" s="10">
        <v>1984</v>
      </c>
      <c r="AE8" s="10">
        <v>8</v>
      </c>
    </row>
    <row r="9" spans="1:34" ht="16.5" customHeight="1" thickBot="1" x14ac:dyDescent="0.4">
      <c r="A9" s="267" t="s">
        <v>77</v>
      </c>
      <c r="B9" s="268"/>
      <c r="C9" s="268"/>
      <c r="D9" s="268"/>
      <c r="E9" s="268"/>
      <c r="F9" s="268"/>
      <c r="G9" s="268"/>
      <c r="H9" s="269"/>
      <c r="I9" s="269"/>
      <c r="J9" s="270"/>
      <c r="K9" s="142"/>
      <c r="L9" s="130" t="s">
        <v>174</v>
      </c>
      <c r="M9" s="11" t="s">
        <v>72</v>
      </c>
      <c r="N9" s="9"/>
      <c r="O9" s="9"/>
      <c r="P9" s="9"/>
      <c r="Q9" s="9"/>
      <c r="R9" s="9"/>
      <c r="S9" s="9"/>
      <c r="T9" s="9"/>
      <c r="U9" s="9"/>
      <c r="V9" s="13" t="s">
        <v>29</v>
      </c>
      <c r="W9" s="10">
        <v>81</v>
      </c>
      <c r="Y9" s="12" t="s">
        <v>43</v>
      </c>
      <c r="Z9" s="10">
        <v>10</v>
      </c>
      <c r="AA9" s="10">
        <v>9.3000000000000007</v>
      </c>
      <c r="AB9" s="10">
        <v>7.1</v>
      </c>
      <c r="AD9" s="10">
        <v>1985</v>
      </c>
      <c r="AE9" s="10">
        <v>8</v>
      </c>
    </row>
    <row r="10" spans="1:34" s="32" customFormat="1" ht="16.5" customHeight="1" thickBot="1" x14ac:dyDescent="0.4">
      <c r="A10" s="143" t="str">
        <f>IF(AND(I13&gt;1%,A13=TRUE,C13=TRUE),I13,IF(AND(I13&gt;1%,B13=TRUE,C13=TRUE),I13,IF(AND(I13&lt;=0,A13=TRUE,C13=TRUE),"EFFICIENCY ERROR",IF(AND(I13&lt;=0,B13=TRUE,C13=TRUE),"EFFICIENCY ERROR",IF(AND(J3&gt;1,H9&gt;1,B13=FALSE),"N/A","")))))</f>
        <v/>
      </c>
      <c r="B10" s="144"/>
      <c r="C10" s="144"/>
      <c r="D10" s="144"/>
      <c r="E10" s="144"/>
      <c r="F10" s="144"/>
      <c r="G10" s="144"/>
      <c r="H10" s="7"/>
      <c r="I10" s="7"/>
      <c r="J10" s="7"/>
      <c r="K10" s="145"/>
      <c r="L10" s="131"/>
      <c r="M10" s="131"/>
      <c r="N10" s="131"/>
      <c r="O10" s="131"/>
      <c r="P10" s="131"/>
      <c r="Q10" s="131"/>
      <c r="R10" s="131"/>
      <c r="S10" s="131"/>
      <c r="T10" s="146"/>
      <c r="U10" s="131"/>
    </row>
    <row r="11" spans="1:34" ht="16.5" customHeight="1" x14ac:dyDescent="0.35">
      <c r="A11" s="68" t="s">
        <v>71</v>
      </c>
      <c r="B11" s="147"/>
      <c r="C11" s="147"/>
      <c r="D11" s="147"/>
      <c r="E11" s="147"/>
      <c r="F11" s="147"/>
      <c r="G11" s="147"/>
      <c r="H11" s="147"/>
      <c r="I11" s="147"/>
      <c r="J11" s="71"/>
      <c r="K11" s="8"/>
      <c r="L11" s="130"/>
      <c r="M11" s="11"/>
      <c r="N11" s="9"/>
      <c r="O11" s="9"/>
      <c r="P11" s="9"/>
      <c r="Q11" s="9"/>
      <c r="R11" s="9"/>
      <c r="S11" s="9"/>
      <c r="T11" s="9"/>
      <c r="U11" s="9"/>
      <c r="V11" s="13" t="s">
        <v>27</v>
      </c>
      <c r="W11" s="10">
        <v>90</v>
      </c>
      <c r="Y11" s="12" t="s">
        <v>40</v>
      </c>
      <c r="Z11" s="10">
        <v>8</v>
      </c>
      <c r="AA11" s="10">
        <v>7.7</v>
      </c>
      <c r="AB11" s="10">
        <v>6.6</v>
      </c>
      <c r="AD11" s="10">
        <v>1986</v>
      </c>
      <c r="AE11" s="10">
        <v>8</v>
      </c>
    </row>
    <row r="12" spans="1:34" ht="16.5" customHeight="1" x14ac:dyDescent="0.35">
      <c r="A12" s="271" t="s">
        <v>98</v>
      </c>
      <c r="B12" s="272"/>
      <c r="C12" s="272"/>
      <c r="D12" s="272"/>
      <c r="E12" s="272"/>
      <c r="F12" s="272"/>
      <c r="G12" s="272"/>
      <c r="H12" s="29"/>
      <c r="I12" s="273" t="str">
        <f>IF(H9&gt;1,I13,"")</f>
        <v/>
      </c>
      <c r="J12" s="274"/>
      <c r="K12" s="148"/>
      <c r="L12" s="130" t="s">
        <v>174</v>
      </c>
      <c r="M12" s="11" t="s">
        <v>75</v>
      </c>
      <c r="N12" s="9"/>
      <c r="O12" s="9"/>
      <c r="P12" s="9"/>
      <c r="Q12" s="9"/>
      <c r="R12" s="9"/>
      <c r="S12" s="9"/>
      <c r="T12" s="9"/>
      <c r="U12" s="9"/>
      <c r="V12" s="13" t="s">
        <v>25</v>
      </c>
      <c r="W12" s="10">
        <v>80</v>
      </c>
      <c r="Y12" s="12" t="s">
        <v>38</v>
      </c>
      <c r="Z12" s="10">
        <v>6.5</v>
      </c>
      <c r="AA12" s="10">
        <v>6.4</v>
      </c>
      <c r="AB12" s="10">
        <v>6</v>
      </c>
      <c r="AD12" s="10">
        <v>1987</v>
      </c>
      <c r="AE12" s="10">
        <v>8</v>
      </c>
    </row>
    <row r="13" spans="1:34" s="33" customFormat="1" ht="16.5" hidden="1" customHeight="1" x14ac:dyDescent="0.35">
      <c r="A13" s="149" t="str">
        <f>IF(H7="DOE","TRUE","FALSE")</f>
        <v>FALSE</v>
      </c>
      <c r="B13" s="33" t="str">
        <f>IF(H7="LIHEAP","TRUE","FALSE")</f>
        <v>FALSE</v>
      </c>
      <c r="C13" s="33" t="str">
        <f>IF(H7="DOE &amp; LIHEAP","TRUE","FALSE")</f>
        <v>FALSE</v>
      </c>
      <c r="D13" s="33" t="str">
        <f>IF(H8="Gas Furnace","TRUE","FALSE")</f>
        <v>FALSE</v>
      </c>
      <c r="E13" s="33" t="str">
        <f>IF(H8="Electric Resistance Furnace","TRUE","FALSE")</f>
        <v>FALSE</v>
      </c>
      <c r="F13" s="33" t="str">
        <f>IF(H8="Heat Pump","TRUE","FALSE")</f>
        <v>FALSE</v>
      </c>
      <c r="G13" s="33" t="str">
        <f>IF(D13="TRUE","N/A",IF(E13="TRUE",1,IF(F13="TRUE","N/A","")))</f>
        <v/>
      </c>
      <c r="H13" s="150" t="b">
        <f>IF(H6="Conditioned Space","Conditioned",IF(H6="Unconditioned Space","Unconditioned",FALSE))</f>
        <v>0</v>
      </c>
      <c r="I13" s="151" t="str">
        <f>IF(H8="Gas Furnace","Requires combustion analyzer reading",IF(H8="Electric Resistance Furnace","N/A",IF(H8="Heat Pump","N/A","")))</f>
        <v/>
      </c>
      <c r="J13" s="35"/>
      <c r="L13" s="132"/>
      <c r="M13" s="132"/>
      <c r="N13" s="132"/>
      <c r="O13" s="132"/>
      <c r="P13" s="132"/>
      <c r="Q13" s="132"/>
      <c r="R13" s="132"/>
      <c r="S13" s="132"/>
      <c r="T13" s="132"/>
      <c r="U13" s="132"/>
    </row>
    <row r="14" spans="1:34" s="5" customFormat="1" ht="16.5" customHeight="1" x14ac:dyDescent="0.35">
      <c r="A14" s="241" t="s">
        <v>97</v>
      </c>
      <c r="B14" s="242"/>
      <c r="C14" s="242"/>
      <c r="D14" s="242"/>
      <c r="E14" s="242"/>
      <c r="F14" s="242"/>
      <c r="G14" s="242"/>
      <c r="H14" s="275" t="str">
        <f>G13</f>
        <v/>
      </c>
      <c r="I14" s="275"/>
      <c r="J14" s="276"/>
      <c r="L14" s="130" t="s">
        <v>174</v>
      </c>
      <c r="M14" s="11" t="s">
        <v>76</v>
      </c>
      <c r="N14" s="133"/>
      <c r="O14" s="133"/>
      <c r="P14" s="133"/>
      <c r="Q14" s="133"/>
      <c r="R14" s="133"/>
      <c r="S14" s="133"/>
      <c r="T14" s="133"/>
      <c r="U14" s="133"/>
      <c r="V14" s="13" t="s">
        <v>23</v>
      </c>
      <c r="W14" s="10">
        <v>80</v>
      </c>
      <c r="X14" s="8"/>
      <c r="Y14" s="12" t="s">
        <v>34</v>
      </c>
      <c r="Z14" s="10">
        <v>10</v>
      </c>
      <c r="AA14" s="10">
        <v>9.1</v>
      </c>
      <c r="AB14" s="10"/>
      <c r="AC14" s="8"/>
      <c r="AD14" s="10">
        <v>1988</v>
      </c>
      <c r="AE14" s="10">
        <v>8</v>
      </c>
    </row>
    <row r="15" spans="1:34" s="32" customFormat="1" ht="16.5" hidden="1" customHeight="1" x14ac:dyDescent="0.35">
      <c r="A15" s="149" t="str">
        <f>IF(H8="Gas Furnace",H12,IF(H8="Electric Resistance Furnace","N/A",IF(H8="Heat Pump","N/A","")))</f>
        <v/>
      </c>
      <c r="B15" s="33"/>
      <c r="G15" s="152" t="str">
        <f>IF(D13="TRUE","N/A",IF(E13="TRUE","N/A",IF(F13="TRUE",8,"")))</f>
        <v/>
      </c>
      <c r="H15" s="277" t="str">
        <f>IF(AND(H8="Gas Furnace",H9&gt;1),"N/A",IF(AND(H9&gt;1,H8="Electric Resistance Furnace"),"N/A",IF(AND(H16&gt;1,H8="Heat Pump"),H16,IF(AND(H8="Heat Pump",H16&lt;1),G15,""))))</f>
        <v/>
      </c>
      <c r="I15" s="277"/>
      <c r="J15" s="278"/>
      <c r="L15" s="131"/>
      <c r="M15" s="131"/>
      <c r="N15" s="131"/>
      <c r="O15" s="131"/>
      <c r="P15" s="131"/>
      <c r="Q15" s="131"/>
      <c r="R15" s="131"/>
      <c r="S15" s="131"/>
      <c r="T15" s="131"/>
      <c r="U15" s="131"/>
    </row>
    <row r="16" spans="1:34" s="14" customFormat="1" ht="16.5" customHeight="1" x14ac:dyDescent="0.35">
      <c r="A16" s="271" t="s">
        <v>99</v>
      </c>
      <c r="B16" s="272"/>
      <c r="C16" s="272"/>
      <c r="D16" s="272"/>
      <c r="E16" s="272"/>
      <c r="F16" s="272"/>
      <c r="G16" s="272"/>
      <c r="H16" s="27"/>
      <c r="I16" s="153" t="str">
        <f>H15</f>
        <v/>
      </c>
      <c r="J16" s="154" t="str">
        <f>IF(H8="Heat Pump","HSPF","")</f>
        <v/>
      </c>
      <c r="L16" s="130" t="s">
        <v>174</v>
      </c>
      <c r="M16" s="11" t="s">
        <v>76</v>
      </c>
      <c r="N16" s="134"/>
      <c r="O16" s="134"/>
      <c r="P16" s="134"/>
      <c r="Q16" s="134"/>
      <c r="R16" s="134"/>
      <c r="S16" s="134"/>
      <c r="T16" s="134"/>
      <c r="U16" s="134"/>
      <c r="V16" s="20" t="s">
        <v>19</v>
      </c>
      <c r="W16" s="21">
        <v>73</v>
      </c>
      <c r="X16" s="8"/>
      <c r="Y16" s="22" t="s">
        <v>32</v>
      </c>
      <c r="Z16" s="21">
        <v>10</v>
      </c>
      <c r="AA16" s="21">
        <v>9.1</v>
      </c>
      <c r="AB16" s="21">
        <v>6.8</v>
      </c>
      <c r="AC16" s="8"/>
      <c r="AD16" s="21">
        <v>1989</v>
      </c>
      <c r="AE16" s="21">
        <v>8</v>
      </c>
    </row>
    <row r="17" spans="1:31" s="32" customFormat="1" ht="16.5" hidden="1" customHeight="1" x14ac:dyDescent="0.35">
      <c r="A17" s="155"/>
      <c r="B17" s="156"/>
      <c r="C17" s="156"/>
      <c r="D17" s="156"/>
      <c r="E17" s="156"/>
      <c r="F17" s="156"/>
      <c r="G17" s="156"/>
      <c r="H17" s="157"/>
      <c r="I17" s="158"/>
      <c r="J17" s="159"/>
      <c r="L17" s="132"/>
      <c r="M17" s="160"/>
      <c r="N17" s="131"/>
      <c r="O17" s="131"/>
      <c r="P17" s="131"/>
      <c r="Q17" s="131"/>
      <c r="R17" s="131"/>
      <c r="S17" s="131"/>
      <c r="T17" s="131"/>
      <c r="U17" s="131"/>
      <c r="W17" s="161"/>
      <c r="X17" s="161"/>
      <c r="Y17" s="162"/>
      <c r="Z17" s="161"/>
      <c r="AA17" s="161"/>
      <c r="AB17" s="161"/>
      <c r="AC17" s="161"/>
      <c r="AD17" s="161"/>
      <c r="AE17" s="161"/>
    </row>
    <row r="18" spans="1:31" ht="16.5" customHeight="1" x14ac:dyDescent="0.35">
      <c r="A18" s="279" t="s">
        <v>100</v>
      </c>
      <c r="B18" s="280"/>
      <c r="C18" s="280"/>
      <c r="D18" s="280"/>
      <c r="E18" s="280"/>
      <c r="F18" s="280"/>
      <c r="G18" s="280"/>
      <c r="H18" s="243" t="s">
        <v>179</v>
      </c>
      <c r="I18" s="243"/>
      <c r="J18" s="244"/>
      <c r="L18" s="130" t="s">
        <v>174</v>
      </c>
      <c r="M18" s="11" t="s">
        <v>5</v>
      </c>
      <c r="N18" s="9"/>
      <c r="O18" s="9"/>
      <c r="P18" s="9"/>
      <c r="Q18" s="9"/>
      <c r="R18" s="9"/>
      <c r="S18" s="9"/>
      <c r="T18" s="9"/>
      <c r="U18" s="9"/>
      <c r="V18" s="23" t="s">
        <v>16</v>
      </c>
      <c r="W18" s="24">
        <v>60</v>
      </c>
      <c r="Y18" s="25" t="s">
        <v>28</v>
      </c>
      <c r="Z18" s="24"/>
      <c r="AA18" s="24">
        <v>9.75</v>
      </c>
      <c r="AB18" s="24"/>
      <c r="AD18" s="24">
        <v>1990</v>
      </c>
      <c r="AE18" s="24">
        <v>8</v>
      </c>
    </row>
    <row r="19" spans="1:31" s="33" customFormat="1" ht="16.5" hidden="1" customHeight="1" x14ac:dyDescent="0.35">
      <c r="A19" s="163" t="str">
        <f>IF(AND(A13="TRUE",D13="TRUE",H18="Annual Professional Maintenance"),"DOE Does Not Allow Degration of this Type Furnace",IF(AND(A13="TRUE",D13="TRUE",H18="Seldom or Never Maintained"),"DOE Does Not Allow this Maintenance Selection",IF(AND(A13="TRUE",E13="TRUE",H18="Annual Professional Maintenance"),"DOE Does Not Allow Degration of this Type Furnace",IF(AND(A13="TRUE",E13="TRUE",H18="Seldom or Never Maintained"),"DOE Does Not Allow this Maintenance Selection",IF(AND(A13="TRUE",F13="TRUE",H18="Annual Professional Maintenance"),0.01,IF(AND(A13="TRUE",F13="TRUE",H18="Seldom or Never Maintained"),"DOE Does Not Allow this Maintenance Selection",""))))))</f>
        <v/>
      </c>
      <c r="B19" s="164" t="str">
        <f>IF(AND(B13="TRUE",D13="TRUE",H18="Annual Professional Maintenance"),0.005,IF(AND(B13="TRUE",D13="TRUE",H18="Seldom or Never Maintained"),0.015,IF(AND(B13="TRUE",E13="TRUE",H18="Annual Professional Maintenance"),0.01,IF(AND(B13="TRUE",E13="TRUE",H18="Seldom or Never Maintained"),0.03,IF(AND(B13="TRUE",F13="TRUE",H18="Annual Professional Maintenance"),0.01,IF(AND(B13="TRUE",F13="TRUE",H18="Seldom or Never Maintained"),0.03,""))))))</f>
        <v/>
      </c>
      <c r="C19" s="165" t="str">
        <f>IF(AND(C13="TRUE",D13="TRUE",H18="Annual Professional Maintenance"),"DOE Does Not Allow Degration of this Type Furnace",IF(AND(C13="TRUE",D13="TRUE",H18="Seldom or Never Maintained"),"DOE Does Not Allow this Maintenance Selection",IF(AND(C13="TRUE",E13="TRUE",H18="Annual Professional Maintenance"),"DOE Does Not Allow Degration of this Type Furnace",IF(AND(C13="TRUE",E13="TRUE",H18="Seldom or Never Maintained"),"DOE Does Not Allow this Maintenance Selection",IF(AND(C13="TRUE",F13="TRUE",H18="Annual Professional Maintenance"),0.01,IF(AND(C13="TRUE",F13="TRUE",H18="Seldom or Never Maintained"),"DOE Does Not Allow this Maintenance Selection",""))))))</f>
        <v/>
      </c>
      <c r="H19" s="281"/>
      <c r="I19" s="281"/>
      <c r="J19" s="282"/>
      <c r="L19" s="132"/>
      <c r="M19" s="132"/>
      <c r="N19" s="132"/>
      <c r="O19" s="132"/>
      <c r="P19" s="132"/>
      <c r="Q19" s="132"/>
      <c r="R19" s="132"/>
      <c r="S19" s="132"/>
      <c r="T19" s="132"/>
      <c r="U19" s="132"/>
    </row>
    <row r="20" spans="1:31" s="5" customFormat="1" ht="16.5" customHeight="1" x14ac:dyDescent="0.35">
      <c r="A20" s="263" t="s">
        <v>4</v>
      </c>
      <c r="B20" s="264"/>
      <c r="C20" s="264"/>
      <c r="D20" s="264"/>
      <c r="E20" s="264"/>
      <c r="F20" s="264"/>
      <c r="G20" s="264"/>
      <c r="H20" s="265" t="str">
        <f>(CONCATENATE(A19,B19,C19,D19))</f>
        <v/>
      </c>
      <c r="I20" s="265"/>
      <c r="J20" s="266"/>
      <c r="L20" s="130" t="s">
        <v>174</v>
      </c>
      <c r="M20" s="11" t="s">
        <v>79</v>
      </c>
      <c r="N20" s="133"/>
      <c r="O20" s="133"/>
      <c r="P20" s="133"/>
      <c r="Q20" s="133"/>
      <c r="R20" s="133"/>
      <c r="S20" s="133"/>
      <c r="T20" s="133"/>
      <c r="U20" s="133"/>
      <c r="V20" s="13" t="s">
        <v>13</v>
      </c>
      <c r="W20" s="10">
        <v>81</v>
      </c>
      <c r="X20" s="8"/>
      <c r="Y20" s="12" t="s">
        <v>28</v>
      </c>
      <c r="Z20" s="10"/>
      <c r="AA20" s="10">
        <v>8.5</v>
      </c>
      <c r="AB20" s="10"/>
      <c r="AC20" s="8"/>
      <c r="AD20" s="10">
        <v>1991</v>
      </c>
      <c r="AE20" s="10">
        <v>8</v>
      </c>
    </row>
    <row r="21" spans="1:31" s="175" customFormat="1" ht="16.5" hidden="1" customHeight="1" thickBot="1" x14ac:dyDescent="0.4">
      <c r="A21" s="166" t="str">
        <f>IF(AND(A13="TRUE",H8="Gas Furnace",H18="Annual Professional Maintenance"),H12*100,IF(AND(A13="TRUE",H8="Gas Furnace",H18="Seldom or Never Maintained"),"DOE Does Not Allow this Maintenance Selection",IF(AND(A13="TRUE",H8="Electric Resistance Furnace",H18="Annual Professional Maintenance"),H14*100,IF(AND(A13="TRUE",H8="Electric Resistance Furnace",H18="Seldom or Never Maintained"),"DOE Does Not Allow this Maintenance Selection",IF(AND(A13="TRUE",H8="Heat Pump",H18="Annual Professional Maintenance"),ROUND(I16*(1-0.01)^(J3-H9),1),IF(AND(A13="TRUE",H8="Heat Pump",H18="Seldom or Never Maintained"),"DOE Does Not Allow this Maintenance Selection",""))))))</f>
        <v/>
      </c>
      <c r="B21" s="167" t="str">
        <f>IF(AND(B13="TRUE",D13="TRUE",H18="Annual Professional Maintenance"),ROUND(H12*(1-H20)^(J3-H9)*100,1),IF(AND(B13="TRUE",D13="TRUE",H18="Seldom or Never Maintained"),ROUND(H12*(1-H20)^(J3-H9)*100,1),IF(AND(B13="TRUE",E13="TRUE",H18="Annual Professional Maintenance"),ROUND(H14*(1-H20)^(J3-H9)*100,1),IF(AND(B13="TRUE",E13="TRUE",H18="Seldom or Never Maintained"),ROUND(H14*(1-H20)^(J3-H9)*100,1),IF(AND(B13="TRUE",F13="TRUE",H18="Annual Professional Maintenance"),ROUND(I16*(1-H20)^(J3-H9),1),IF(AND(B13="TRUE",F13="TRUE",H18="Seldom or Never Maintained"),ROUND(I16*(1-H20)^(J3-H9),1),""))))))</f>
        <v/>
      </c>
      <c r="C21" s="168" t="str">
        <f>IF(AND(C13="TRUE",H8="Gas Furnace",H18="Annual Professional Maintenance"),H12*100,IF(AND(C13="TRUE",H8="Gas Furnace",H18="Seldom or Never Maintained"),"DOE Does Not Allow this Maintenance Selection",IF(AND(C13="TRUE",H8="Electric Resistance Furnace",H18="Annual Professional Maintenance"),H14*100,IF(AND(C13="TRUE",H8="Electric Resistance Furnace",H18="Seldom or Never Maintained"),"DOE Does Not Allow this Maintenance Selection",IF(AND(C13="TRUE",H8="Heat Pump",H18="Annual Professional Maintenance"),ROUND(I16*(1-0.01)^(J3-H9),1),IF(AND(C13="TRUE",H8="Heat Pump",H18="Seldom or Never Maintained"),"DOE Does Not Allow this Maintenance Selection",""))))))</f>
        <v/>
      </c>
      <c r="D21" s="169" t="str">
        <f>CONCATENATE(A21,B21,C21)</f>
        <v/>
      </c>
      <c r="E21" s="168"/>
      <c r="F21" s="170"/>
      <c r="G21" s="171"/>
      <c r="H21" s="172"/>
      <c r="I21" s="173" t="str">
        <f>IF(AND(H8="Electric Resistance Furnace",H18="Annual Professional Maintenance")," % of Efficiency",IF(AND(H8="Gas Furnace",H18="Annual Professional Maintenance"),"% AFUE",IF(AND(H8="Heat Pump",H18="Annual Professional Maintenance")," HSPF",IF(AND(H7="LIHEAP",H8="Electric Resistance Furnace",H18="Seldom Or Never Maintained"),"% of Efficiency",IF(AND(H7="LIHEAP",H8="Gas Furnace",H18="Seldom Or Never Maintained")," % AFUE",IF(AND(H7="LIHEAP",H8="Heat Pump",H18="Seldom Or Never Maintained")," HSPF",""))))))</f>
        <v/>
      </c>
      <c r="J21" s="174" t="str">
        <f>CONCATENATE(D21,I21)</f>
        <v/>
      </c>
      <c r="L21" s="176"/>
      <c r="M21" s="176"/>
      <c r="N21" s="176"/>
      <c r="O21" s="176"/>
      <c r="P21" s="176"/>
      <c r="Q21" s="176"/>
      <c r="R21" s="176"/>
      <c r="S21" s="176"/>
      <c r="T21" s="176"/>
      <c r="U21" s="176"/>
      <c r="V21" s="177"/>
      <c r="W21" s="177"/>
      <c r="Y21" s="177"/>
      <c r="Z21" s="177"/>
      <c r="AA21" s="177"/>
      <c r="AB21" s="177"/>
      <c r="AD21" s="177"/>
      <c r="AE21" s="177"/>
    </row>
    <row r="22" spans="1:31" ht="16.5" customHeight="1" thickBot="1" x14ac:dyDescent="0.4">
      <c r="A22" s="236" t="s">
        <v>21</v>
      </c>
      <c r="B22" s="237"/>
      <c r="C22" s="238"/>
      <c r="D22" s="239"/>
      <c r="E22" s="239"/>
      <c r="F22" s="239"/>
      <c r="G22" s="240"/>
      <c r="H22" s="283" t="str">
        <f>J21</f>
        <v/>
      </c>
      <c r="I22" s="283"/>
      <c r="J22" s="284"/>
      <c r="K22" s="141"/>
      <c r="L22" s="130" t="s">
        <v>174</v>
      </c>
      <c r="M22" s="11" t="s">
        <v>20</v>
      </c>
      <c r="N22" s="9"/>
      <c r="O22" s="9"/>
      <c r="P22" s="9"/>
      <c r="Q22" s="9"/>
      <c r="R22" s="9"/>
      <c r="S22" s="9"/>
      <c r="T22" s="9"/>
      <c r="U22" s="9"/>
      <c r="V22" s="13" t="s">
        <v>12</v>
      </c>
      <c r="W22" s="10">
        <v>71</v>
      </c>
      <c r="Y22" s="12" t="s">
        <v>26</v>
      </c>
      <c r="Z22" s="10"/>
      <c r="AA22" s="10">
        <v>7.5</v>
      </c>
      <c r="AB22" s="10"/>
      <c r="AD22" s="10">
        <v>1992</v>
      </c>
      <c r="AE22" s="10">
        <v>10</v>
      </c>
    </row>
    <row r="23" spans="1:31" ht="16.5" customHeight="1" x14ac:dyDescent="0.35">
      <c r="A23" s="178" t="s">
        <v>17</v>
      </c>
      <c r="H23" s="9"/>
      <c r="I23" s="179"/>
      <c r="J23" s="179"/>
      <c r="K23" s="142"/>
      <c r="L23" s="9"/>
      <c r="M23" s="9"/>
      <c r="N23" s="9"/>
      <c r="O23" s="9"/>
      <c r="P23" s="9"/>
      <c r="Q23" s="9"/>
      <c r="R23" s="9"/>
      <c r="S23" s="9"/>
      <c r="T23" s="9"/>
      <c r="U23" s="9"/>
      <c r="V23" s="13" t="s">
        <v>11</v>
      </c>
      <c r="W23" s="10">
        <v>80</v>
      </c>
      <c r="Y23" s="12" t="s">
        <v>24</v>
      </c>
      <c r="Z23" s="10"/>
      <c r="AA23" s="10">
        <v>6.5</v>
      </c>
      <c r="AB23" s="10"/>
      <c r="AD23" s="10">
        <v>1993</v>
      </c>
      <c r="AE23" s="10">
        <v>10</v>
      </c>
    </row>
    <row r="24" spans="1:31" ht="15.65" customHeight="1" x14ac:dyDescent="0.35">
      <c r="A24" s="178" t="s">
        <v>14</v>
      </c>
      <c r="H24" s="76"/>
      <c r="I24" s="76"/>
      <c r="J24" s="76"/>
      <c r="K24" s="180"/>
      <c r="L24" s="9"/>
      <c r="M24"/>
      <c r="N24" s="135"/>
      <c r="O24" s="9"/>
      <c r="P24" s="9"/>
      <c r="Q24" s="9"/>
      <c r="R24" s="9"/>
      <c r="S24" s="9"/>
      <c r="T24" s="9"/>
      <c r="U24" s="9"/>
      <c r="V24" s="13" t="s">
        <v>10</v>
      </c>
      <c r="W24" s="10">
        <v>82</v>
      </c>
      <c r="Y24" s="12" t="s">
        <v>22</v>
      </c>
      <c r="Z24" s="10"/>
      <c r="AA24" s="10">
        <v>9</v>
      </c>
      <c r="AB24" s="10"/>
      <c r="AD24" s="10">
        <v>1994</v>
      </c>
      <c r="AE24" s="10">
        <v>10</v>
      </c>
    </row>
    <row r="25" spans="1:31" ht="15.65" customHeight="1" x14ac:dyDescent="0.35">
      <c r="A25" s="178" t="s">
        <v>2</v>
      </c>
      <c r="H25" s="9"/>
      <c r="I25" s="76"/>
      <c r="J25" s="76"/>
      <c r="L25" s="9"/>
      <c r="M25"/>
      <c r="N25" s="9"/>
      <c r="O25" s="9"/>
      <c r="P25" s="9"/>
      <c r="Q25" s="9"/>
      <c r="R25" s="9"/>
      <c r="S25" s="9"/>
      <c r="T25" s="9"/>
      <c r="U25" s="9"/>
      <c r="V25" s="13" t="s">
        <v>9</v>
      </c>
      <c r="W25" s="10">
        <v>100</v>
      </c>
      <c r="Y25" s="12" t="s">
        <v>18</v>
      </c>
      <c r="Z25" s="10"/>
      <c r="AA25" s="10">
        <v>8.5</v>
      </c>
      <c r="AB25" s="10"/>
      <c r="AD25" s="10">
        <v>1995</v>
      </c>
      <c r="AE25" s="10">
        <v>10</v>
      </c>
    </row>
    <row r="26" spans="1:31" ht="15.65" customHeight="1" x14ac:dyDescent="0.35">
      <c r="A26" s="178" t="s">
        <v>1</v>
      </c>
      <c r="H26" s="9"/>
      <c r="I26" s="76"/>
      <c r="J26" s="76"/>
      <c r="K26" s="181"/>
      <c r="L26" s="9"/>
      <c r="M26" s="9"/>
      <c r="N26" s="9"/>
      <c r="O26" s="9"/>
      <c r="P26" s="9"/>
      <c r="Q26" s="9"/>
      <c r="R26" s="9"/>
      <c r="S26" s="9"/>
      <c r="T26" s="9"/>
      <c r="U26" s="9"/>
      <c r="V26" s="13" t="s">
        <v>7</v>
      </c>
      <c r="W26" s="10">
        <v>98</v>
      </c>
      <c r="Y26" s="12" t="s">
        <v>15</v>
      </c>
      <c r="Z26" s="10"/>
      <c r="AA26" s="10">
        <v>25</v>
      </c>
      <c r="AB26" s="10"/>
      <c r="AD26" s="10">
        <v>1996</v>
      </c>
      <c r="AE26" s="10">
        <v>10</v>
      </c>
    </row>
    <row r="27" spans="1:31" ht="15.65" customHeight="1" thickBot="1" x14ac:dyDescent="0.4">
      <c r="A27" s="182" t="s">
        <v>0</v>
      </c>
      <c r="H27" s="76"/>
      <c r="I27" s="76"/>
      <c r="J27" s="76"/>
      <c r="L27" s="9"/>
      <c r="M27" s="9"/>
      <c r="N27" s="9"/>
      <c r="O27" s="9"/>
      <c r="P27" s="9"/>
      <c r="Q27" s="9"/>
      <c r="R27" s="9"/>
      <c r="S27" s="9"/>
      <c r="T27" s="9"/>
      <c r="U27" s="9"/>
      <c r="V27" s="13" t="s">
        <v>6</v>
      </c>
      <c r="W27" s="10">
        <v>100</v>
      </c>
      <c r="Y27" s="7" t="s">
        <v>61</v>
      </c>
      <c r="AD27" s="10">
        <v>1997</v>
      </c>
      <c r="AE27" s="10">
        <v>10</v>
      </c>
    </row>
    <row r="28" spans="1:31" ht="19" thickBot="1" x14ac:dyDescent="0.4">
      <c r="A28" s="285" t="s">
        <v>62</v>
      </c>
      <c r="B28" s="286"/>
      <c r="C28" s="286"/>
      <c r="D28" s="286"/>
      <c r="E28" s="286"/>
      <c r="F28" s="286"/>
      <c r="G28" s="286"/>
      <c r="H28" s="286"/>
      <c r="I28" s="286"/>
      <c r="J28" s="287"/>
      <c r="L28" s="9" t="s">
        <v>8</v>
      </c>
      <c r="M28" s="9"/>
      <c r="N28" s="9"/>
      <c r="O28" s="9"/>
      <c r="P28" s="9"/>
      <c r="Q28" s="9"/>
      <c r="R28" s="9"/>
      <c r="S28" s="9"/>
      <c r="T28" s="9"/>
      <c r="U28" s="9"/>
      <c r="V28" s="7" t="s">
        <v>61</v>
      </c>
      <c r="AD28" s="10">
        <v>1999</v>
      </c>
      <c r="AE28" s="10">
        <v>10</v>
      </c>
    </row>
    <row r="29" spans="1:31" ht="16.75" customHeight="1" x14ac:dyDescent="0.35">
      <c r="A29" s="259" t="s">
        <v>69</v>
      </c>
      <c r="B29" s="260"/>
      <c r="C29" s="260"/>
      <c r="D29" s="260"/>
      <c r="E29" s="260"/>
      <c r="F29" s="260"/>
      <c r="G29" s="260"/>
      <c r="H29" s="257" t="s">
        <v>103</v>
      </c>
      <c r="I29" s="257"/>
      <c r="J29" s="258"/>
      <c r="L29" s="130" t="s">
        <v>174</v>
      </c>
      <c r="M29" s="11" t="s">
        <v>73</v>
      </c>
      <c r="N29" s="9"/>
      <c r="O29" s="9"/>
      <c r="P29" s="9"/>
      <c r="Q29" s="9"/>
      <c r="R29" s="9"/>
      <c r="S29" s="9"/>
      <c r="T29" s="9"/>
      <c r="U29" s="9"/>
      <c r="AD29" s="10">
        <v>2000</v>
      </c>
      <c r="AE29" s="10">
        <v>12</v>
      </c>
    </row>
    <row r="30" spans="1:31" ht="16.5" customHeight="1" x14ac:dyDescent="0.35">
      <c r="A30" s="241" t="s">
        <v>82</v>
      </c>
      <c r="B30" s="242"/>
      <c r="C30" s="242"/>
      <c r="D30" s="242"/>
      <c r="E30" s="242"/>
      <c r="F30" s="242"/>
      <c r="G30" s="242"/>
      <c r="H30" s="243" t="s">
        <v>183</v>
      </c>
      <c r="I30" s="243"/>
      <c r="J30" s="244"/>
      <c r="L30" s="130" t="s">
        <v>174</v>
      </c>
      <c r="M30" s="11" t="s">
        <v>74</v>
      </c>
      <c r="N30" s="9"/>
      <c r="O30" s="9"/>
      <c r="P30" s="9"/>
      <c r="Q30" s="9"/>
      <c r="R30" s="9"/>
      <c r="S30" s="9"/>
      <c r="T30" s="9"/>
      <c r="U30" s="9"/>
      <c r="AD30" s="10">
        <v>2001</v>
      </c>
      <c r="AE30" s="10">
        <v>12</v>
      </c>
    </row>
    <row r="31" spans="1:31" ht="15.5" x14ac:dyDescent="0.35">
      <c r="A31" s="296" t="s">
        <v>78</v>
      </c>
      <c r="B31" s="297"/>
      <c r="C31" s="297"/>
      <c r="D31" s="297"/>
      <c r="E31" s="297"/>
      <c r="F31" s="297"/>
      <c r="G31" s="297"/>
      <c r="H31" s="298"/>
      <c r="I31" s="298"/>
      <c r="J31" s="299"/>
      <c r="L31" s="130" t="s">
        <v>174</v>
      </c>
      <c r="M31" s="11" t="s">
        <v>72</v>
      </c>
      <c r="N31" s="9"/>
      <c r="O31" s="9"/>
      <c r="P31" s="9"/>
      <c r="Q31" s="9"/>
      <c r="R31" s="9"/>
      <c r="S31" s="9"/>
      <c r="T31" s="9"/>
      <c r="U31" s="9"/>
      <c r="AB31" s="7"/>
      <c r="AD31" s="10">
        <v>2002</v>
      </c>
      <c r="AE31" s="10">
        <v>12</v>
      </c>
    </row>
    <row r="32" spans="1:31" s="32" customFormat="1" ht="0.5" customHeight="1" x14ac:dyDescent="0.35">
      <c r="A32" s="183" t="b">
        <f>IF(H29="DOE",TRUE,FALSE)</f>
        <v>0</v>
      </c>
      <c r="B32" s="184" t="b">
        <f>IF(H29="LIHEAP",TRUE,FALSE)</f>
        <v>0</v>
      </c>
      <c r="C32" s="184" t="b">
        <f>IF(H29="DOE &amp; LIHEAP",TRUE,FALSE)</f>
        <v>0</v>
      </c>
      <c r="D32" s="184" t="b">
        <f>IF(H30="Split System AC",TRUE,FALSE)</f>
        <v>0</v>
      </c>
      <c r="E32" s="184" t="b">
        <f>IF(H30="Heat Pump", TRUE,FALSE)</f>
        <v>0</v>
      </c>
      <c r="F32" s="184" t="b">
        <f>IF(H30="Evaporative Cooler",TRUE,FALSE)</f>
        <v>0</v>
      </c>
      <c r="G32" s="185" t="str">
        <f>IF(AND(D32=FALSE,E32=FALSE,F32=FALSE),"",IF(AND(D32=TRUE,H31&gt;1,H33&gt;1),H33,IF(AND(D32=TRUE,H33&lt;1,H31&gt;=1980),VLOOKUP(H31,AD3:AE56,2),IF(AND(E32=TRUE,H31&gt;1,H33&gt;1),H33,IF(AND(E32=TRUE,H33&lt;1,H31&gt;=1),VLOOKUP(H31,AD3:AE56,2),IF(AND(F32=TRUE,H33&gt;1,H31&gt;=1),25,IF(AND(F32=TRUE,H33&lt;1,H31&gt;=1),25,"")))))))</f>
        <v/>
      </c>
      <c r="J32" s="186"/>
      <c r="L32" s="131"/>
      <c r="M32" s="131"/>
      <c r="N32" s="131"/>
      <c r="O32" s="131"/>
      <c r="P32" s="131"/>
      <c r="Q32" s="131"/>
      <c r="R32" s="131"/>
      <c r="S32" s="131"/>
      <c r="T32" s="131"/>
      <c r="U32" s="131"/>
      <c r="W32" s="161"/>
      <c r="X32" s="161"/>
      <c r="Y32" s="161"/>
      <c r="Z32" s="161"/>
      <c r="AA32" s="161"/>
      <c r="AC32" s="161"/>
    </row>
    <row r="33" spans="1:31" ht="16" customHeight="1" thickBot="1" x14ac:dyDescent="0.4">
      <c r="A33" s="263" t="s">
        <v>168</v>
      </c>
      <c r="B33" s="264"/>
      <c r="C33" s="264"/>
      <c r="D33" s="264"/>
      <c r="E33" s="264"/>
      <c r="F33" s="264"/>
      <c r="G33" s="264"/>
      <c r="H33" s="28"/>
      <c r="I33" s="228" t="str">
        <f>I34</f>
        <v/>
      </c>
      <c r="J33" s="229" t="str">
        <f>IF(OR(H30="Split System AC",H30="Heat Pump",H30="Evaporative Cooler"),"SEER","")</f>
        <v/>
      </c>
      <c r="L33" s="187" t="s">
        <v>174</v>
      </c>
      <c r="M33" s="9" t="s">
        <v>68</v>
      </c>
      <c r="N33" s="9"/>
      <c r="O33" s="9"/>
      <c r="P33" s="9"/>
      <c r="Q33" s="9"/>
      <c r="R33" s="9"/>
      <c r="S33" s="9"/>
      <c r="T33" s="9"/>
      <c r="U33" s="9"/>
      <c r="AD33" s="10">
        <v>2003</v>
      </c>
      <c r="AE33" s="10">
        <v>12</v>
      </c>
    </row>
    <row r="34" spans="1:31" s="32" customFormat="1" ht="1" hidden="1" customHeight="1" x14ac:dyDescent="0.35">
      <c r="A34" s="188"/>
      <c r="B34" s="189"/>
      <c r="C34" s="189"/>
      <c r="D34" s="189"/>
      <c r="E34" s="189"/>
      <c r="F34" s="189"/>
      <c r="G34" s="190"/>
      <c r="I34" s="132" t="str">
        <f>IF(AND(H30="Split System AC",H33&gt;8),H33,IF(AND(H30="Split System AC",H33&lt;8),VLOOKUP(H31,AD3:AE62,2,),IF(AND(H30="Heat Pump",H33&gt;8),H33,IF(AND(H30="Heat Pump",H33&lt;8),VLOOKUP(H31,AD3:AE62,2,),IF(AND(H30="Evaporative Cooler",H31&gt;1980),25,"")))))</f>
        <v/>
      </c>
      <c r="J34" s="186"/>
      <c r="L34" s="131"/>
      <c r="M34" s="131"/>
      <c r="N34" s="131"/>
      <c r="O34" s="131"/>
      <c r="P34" s="131"/>
      <c r="Q34" s="131"/>
      <c r="R34" s="131"/>
      <c r="S34" s="131"/>
      <c r="T34" s="131"/>
      <c r="U34" s="131"/>
      <c r="W34" s="161"/>
      <c r="X34" s="161"/>
      <c r="Y34" s="161"/>
      <c r="Z34" s="161"/>
      <c r="AA34" s="161"/>
      <c r="AB34" s="161"/>
      <c r="AC34" s="161"/>
    </row>
    <row r="35" spans="1:31" s="32" customFormat="1" ht="16.5" customHeight="1" x14ac:dyDescent="0.35">
      <c r="A35" s="300" t="s">
        <v>167</v>
      </c>
      <c r="B35" s="301"/>
      <c r="C35" s="301"/>
      <c r="D35" s="301"/>
      <c r="E35" s="301"/>
      <c r="F35" s="301"/>
      <c r="G35" s="301"/>
      <c r="H35" s="191"/>
      <c r="I35" s="192" t="e">
        <f>(IF(AND(H30="Split System AC",H33&gt;8),H33,IF(AND(H30="Split System AC",H33&lt;8),VLOOKUP(H31,AD3:AE62,2,),IF(AND(H30="Heat Pump",H33&gt;8),H33,IF(AND(H30="Heat Pump",H33&lt;8),VLOOKUP(H31,AD3:AE62,2,),IF(AND(H30="Evaporative Cooler",H31&gt;1980),25,""))))))/1.05</f>
        <v>#VALUE!</v>
      </c>
      <c r="J35" s="193" t="s">
        <v>166</v>
      </c>
      <c r="L35" s="130" t="s">
        <v>174</v>
      </c>
      <c r="M35" s="9" t="s">
        <v>180</v>
      </c>
      <c r="N35" s="131"/>
      <c r="O35" s="131"/>
      <c r="P35" s="131"/>
      <c r="Q35" s="131"/>
      <c r="R35" s="131"/>
      <c r="S35" s="131"/>
      <c r="T35" s="131"/>
      <c r="U35" s="131"/>
      <c r="W35" s="161"/>
      <c r="X35" s="161"/>
      <c r="Y35" s="161"/>
      <c r="Z35" s="161"/>
      <c r="AA35" s="161"/>
      <c r="AB35" s="161"/>
      <c r="AC35" s="161"/>
    </row>
    <row r="36" spans="1:31" ht="15.5" customHeight="1" x14ac:dyDescent="0.35">
      <c r="A36" s="263" t="s">
        <v>100</v>
      </c>
      <c r="B36" s="264"/>
      <c r="C36" s="264"/>
      <c r="D36" s="264"/>
      <c r="E36" s="264"/>
      <c r="F36" s="264"/>
      <c r="G36" s="264"/>
      <c r="H36" s="243" t="s">
        <v>181</v>
      </c>
      <c r="I36" s="243"/>
      <c r="J36" s="244"/>
      <c r="L36" s="187" t="s">
        <v>174</v>
      </c>
      <c r="M36" s="9" t="s">
        <v>5</v>
      </c>
      <c r="N36" s="9"/>
      <c r="O36" s="9"/>
      <c r="P36" s="9"/>
      <c r="Q36" s="9"/>
      <c r="R36" s="9"/>
      <c r="S36" s="9"/>
      <c r="T36" s="9"/>
      <c r="U36" s="9"/>
      <c r="AD36" s="10">
        <v>2004</v>
      </c>
      <c r="AE36" s="10">
        <v>12</v>
      </c>
    </row>
    <row r="37" spans="1:31" s="32" customFormat="1" ht="1" customHeight="1" x14ac:dyDescent="0.35">
      <c r="A37" s="194" t="str">
        <f>IF(AND(A32=TRUE,H30="Split System AC",H36="Annual Professional Maintenance"),0.01,IF(AND(A32=TRUE,H30="Split System AC",H36="Seldom or Never Maintained"),"DOE Does Not Allow this Selection",IF(AND(A32=TRUE,H30="Heat Pump",H36="Annual Professional Maintenance"),0.01,IF(AND(A32=TRUE,H30="Heat Pump",H36="Seldom or Never Maintained"),"DOE Does Not Allow this Selection",IF(AND(A32=TRUE,H30="Evaporative Cooler",H36="Annual Professional Maintenance"),"Degradation Not Allowed",IF(AND(A32=TRUE,H30="Evaporative Cooler",H36="Seldom or Never Maintained"),"DOE Does Not Allow this Selection",""))))))</f>
        <v/>
      </c>
      <c r="B37" s="195" t="str">
        <f>IF(AND(B32=TRUE,H30="Split System AC",H36="Annual Professional Maintenance"),0.01,IF(AND(B32=TRUE,H30="Split System AC",H36="Seldom or Never Maintained"),0.03,IF(AND(B32=TRUE,H30="Heat Pump",H36="Annual Professional Maintenance"),0.01,IF(AND(B32=TRUE,H30="Heat Pump",H36="Seldom or Never Maintained"),0.03,IF(AND(B32=TRUE,H30="Evaporative Cooler",H36="Annual Professional Maintenance"),"Degradation Not Allowed",IF(AND(B32=TRUE,H30="Evaporative Cooler",H36="Seldom or Never Maintained"),"Degradation Not Allowed",""))))))</f>
        <v/>
      </c>
      <c r="C37" t="str">
        <f>IF(AND(C32=TRUE,H30="Split System AC",H36="Annual Professional Maintenance"),0.01,IF(AND(C32=TRUE,H30="Split System AC",H36="Seldom or Never Maintained"),"DOE Does Not Allow this Selection",IF(AND(C32=TRUE,H30="Heat Pump",H36="Annual Professional Maintenance"),0.01,IF(AND(C32=TRUE,H30="Heat Pump",H36="Seldom or Never Maintained")," DOE Does Not Allow this Selection ",IF(AND(C32=TRUE,H30="Evaporative Cooler",H36="Annual Professional Maintenance"),"Degradation Not Allowed",IF(AND(C32=TRUE,H30="Evaporative Cooler",H36="Seldom or Never Maintained"),"DOE Does Not Allow this Selection",""))))))</f>
        <v/>
      </c>
      <c r="D37" s="189"/>
      <c r="E37" s="189"/>
      <c r="F37" s="189"/>
      <c r="G37" s="189"/>
      <c r="H37" s="32" t="str">
        <f>IF(A32=TRUE,A37,IF(B32=TRUE,B37,IF(C32=TRUE,C37,"")))</f>
        <v/>
      </c>
      <c r="I37" s="33"/>
      <c r="J37" s="186"/>
      <c r="L37" s="196"/>
      <c r="M37" s="131"/>
      <c r="N37" s="131"/>
      <c r="O37" s="131"/>
      <c r="P37" s="131"/>
      <c r="Q37" s="131"/>
      <c r="R37" s="131"/>
      <c r="S37" s="131"/>
      <c r="T37" s="131"/>
      <c r="U37" s="131"/>
      <c r="W37" s="161"/>
      <c r="X37" s="161"/>
      <c r="Y37" s="161"/>
      <c r="Z37" s="161"/>
      <c r="AA37" s="161"/>
      <c r="AB37" s="161"/>
      <c r="AC37" s="161"/>
      <c r="AD37" s="197"/>
      <c r="AE37" s="197"/>
    </row>
    <row r="38" spans="1:31" ht="14" customHeight="1" x14ac:dyDescent="0.35">
      <c r="A38" s="263" t="s">
        <v>101</v>
      </c>
      <c r="B38" s="264"/>
      <c r="C38" s="264"/>
      <c r="D38" s="264"/>
      <c r="E38" s="264"/>
      <c r="F38" s="264"/>
      <c r="G38" s="264"/>
      <c r="H38" s="288" t="str">
        <f>H37</f>
        <v/>
      </c>
      <c r="I38" s="289"/>
      <c r="J38" s="290"/>
      <c r="L38" s="187" t="s">
        <v>174</v>
      </c>
      <c r="M38" s="9" t="s">
        <v>79</v>
      </c>
      <c r="N38" s="9"/>
      <c r="O38" s="9"/>
      <c r="P38" s="9"/>
      <c r="Q38" s="9"/>
      <c r="R38" s="9"/>
      <c r="S38" s="9"/>
      <c r="T38" s="9"/>
      <c r="U38" s="9"/>
      <c r="AD38" s="10">
        <v>2005</v>
      </c>
      <c r="AE38" s="10">
        <v>12</v>
      </c>
    </row>
    <row r="39" spans="1:31" s="32" customFormat="1" ht="0.5" hidden="1" customHeight="1" x14ac:dyDescent="0.35">
      <c r="A39" s="198">
        <f>J3-H31</f>
        <v>0</v>
      </c>
      <c r="B39" s="199" t="str">
        <f>IF(AND(A32=TRUE,H30="Split System AC",H36="Annual Professional Maintenance"),ROUND(I33*(1-0.01)^A39,1),IF(AND(A32=TRUE,H30="Split System AC",H36="Seldom or Never Maintained"),"DOE Does Not Allow Equipment Maintenance Selection",IF(AND(A32=TRUE,H30="Heat Pump",H36="Annual Professional Maintenance"),ROUND(I33*(1-0.01)^A39,1),IF(AND(A32=TRUE,H30="Heat Pump",H36="Seldom or Never Maintained"),"DOE Does Not Allow Equipment Maintenance Selection",IF(AND(A32=TRUE,H30="Evaporative Cooler",H36="Annual Professional Maintenance"),"Degradation Not Allowed",IF(AND(A32=TRUE,H30="Evaporative Cooler",H36="Seldom or Never Maintained"),"DOE Does Not Allow Equipment Maintenance Selection",""))))))</f>
        <v/>
      </c>
      <c r="C39" s="200" t="str">
        <f>IF(AND(B32=TRUE,H30="Split System AC",H36="Annual Professional Maintenance"),ROUND(I33*(1-0.01)^A39,1),IF(AND(B32=TRUE,H30="Split System AC",H36="Seldom or Never Maintained"),ROUND(I33*(1-0.02)^A39,1),IF(AND(B32=TRUE,H30="Heat Pump",H36="Annual Professional Maintenance"),ROUND(I33*(1-0.01)^A39,1),IF(AND(B32=TRUE,H30="Heat Pump",H36="Seldom or Never Maintained"),ROUND(I33*(1-0.02)^A39,1),IF(AND(B32=TRUE,H30="Evaporative Cooler",H36="Annual Professional Maintenance"),"Degradation Not Allowed",IF(AND(B32=TRUE,H30="Evaporative Cooler",H36="Seldom or Never Maintained"),"Degradation Not Allowed",""))))))</f>
        <v/>
      </c>
      <c r="D39" s="201" t="str">
        <f>IF(AND(C32=TRUE,H30="Split System AC",H36="Annual Professional Maintenance"),ROUND(I33*(1-C37)^A39,1),IF(AND(C32=TRUE,H30="Split System AC",H36="Seldom or Never Maintained"),"DOE Does Not Allow Equipment Maintenance Selection",IF(AND(C32=TRUE,H30="Heat Pump",H36="Annual Professional Maintenance"),ROUND(I33*(1-C37)^A39,1),IF(AND(C32=TRUE,H30="Heat Pump",H36="Seldom or Never Maintained"),"DOE Does Not Allow Equipment Maintenance Selection",IF(AND(C32=TRUE,H30="Evaporative Cooler",H36="Annual Professional Maintenance"),"Degradation Not Allowed",IF(AND(C32=TRUE,H30="Evaporative Cooler",H36="Seldom or Never Maintained"),"DOE Does Not Allow Equipment Maintenance Selection",""))))))</f>
        <v/>
      </c>
      <c r="E39" s="195"/>
      <c r="G39" s="202" t="b">
        <f>IF(C4&gt;1,CONCATENATE(B39,C39,D39,""))</f>
        <v>0</v>
      </c>
      <c r="H39" s="32" t="str">
        <f>IF(OR(G39="DOE Does Not Allow Equipment Maintenance Selection",G39="Degradation Not Allowed"),""," SEER")</f>
        <v xml:space="preserve"> SEER</v>
      </c>
      <c r="J39" s="186"/>
      <c r="L39" s="131"/>
      <c r="M39" s="131"/>
      <c r="N39" s="131"/>
      <c r="O39" s="131"/>
      <c r="P39" s="131"/>
      <c r="Q39" s="131"/>
      <c r="R39" s="131"/>
      <c r="S39" s="131"/>
      <c r="T39" s="131"/>
      <c r="U39" s="131"/>
      <c r="W39" s="161"/>
      <c r="X39" s="161"/>
      <c r="Y39" s="161"/>
      <c r="Z39" s="161"/>
      <c r="AA39" s="161"/>
      <c r="AB39" s="161"/>
      <c r="AC39" s="161"/>
    </row>
    <row r="40" spans="1:31" s="32" customFormat="1" ht="15.5" hidden="1" x14ac:dyDescent="0.35">
      <c r="A40" s="198">
        <f>J3-H31</f>
        <v>0</v>
      </c>
      <c r="B40" s="199" t="str">
        <f>IF(AND(A32=TRUE,H30="Split System AC",H36="Annual Professional Maintenance"),ROUND(I33*(1-0.01)^A39,1),IF(AND(A32=TRUE,H30="Split System AC",H36="Seldom or Never Maintained"),"DOE Does Not Allow Equipment Maintenance Selection",IF(AND(A32=TRUE,H30="Heat Pump",H36="Annual Professional Maintenance"),ROUND(I33*(1-0.01)^A39,1),IF(AND(A32=TRUE,H30="Heat Pump",H36="Seldom or Never Maintained"),"DOE Does Not Allow Equipment Maintenance Selection",IF(AND(A32=TRUE,H30="Evaporative Cooler",H36="Annual Professional Maintenance"),"Degradation Not Allowed",IF(AND(A32=TRUE,H30="Evaporative Cooler",H36="Seldom or Never Maintained"),"DOE Does Not Allow Equipment Maintenance Selection",""))))))</f>
        <v/>
      </c>
      <c r="C40" s="200" t="str">
        <f>IF(AND(B32=TRUE,H30="Split System AC",H36="Annual Professional Maintenance"),ROUND(ROUND(I33*(1-0.01)^A39,1)/1.05,1),IF(AND(B32=TRUE,H30="Split System AC",H36="Seldom or Never Maintained"),ROUND(ROUND(I33*(1-0.02)^A39,1)/1.05,1),IF(AND(B32=TRUE,H30="Heat Pump",H36="Annual Professional Maintenance"),ROUND(ROUND(I33*(1-0.01)^A39,1)/1.05,1),IF(AND(B32=TRUE,H30="Heat Pump",H36="Seldom or Never Maintained"),ROUND(ROUND(I33*(1-0.02)^A39,1)/1.05,1),IF(AND(B32=TRUE,H30="Evaporative Cooler",H36="Annual Professional Maintenance"),"Degradation Not Allowed",IF(AND(B32=TRUE,H30="Evaporative Cooler",H36="Seldom or Never Maintained"),"Degradation Not Allowed",""))))))</f>
        <v/>
      </c>
      <c r="D40" s="201" t="str">
        <f>IF(AND(C33=TRUE,H31="Split System AC",H37="Annual Professional Maintenance"),ROUND(I34*(1-C38)^A40,1),IF(AND(C33=TRUE,H31="Split System AC",H37="Seldom or Never Maintained"),"DOE Does Not Allow Equipment Maintenance Selection",IF(AND(C33=TRUE,H31="Heat Pump",H37="Annual Professional Maintenance"),ROUND(I34*(1-C38)^A40,1),IF(AND(C33=TRUE,H31="Heat Pump",H37="Seldom or Never Maintained"),"DOE Does Not Allow Equipment Maintenance Selection",IF(AND(C33=TRUE,H31="Evaporative Cooler",H37="Annual Professional Maintenance"),"Degradation Not Allowed",IF(AND(C33=TRUE,H31="Evaporative Cooler",H37="Seldom or Never Maintained"),"DOE Does Not Allow Equipment Maintenance Selection",""))))))</f>
        <v/>
      </c>
      <c r="E40" s="195"/>
      <c r="G40" s="202" t="b">
        <f>IF(C4&gt;1,CONCATENATE(B40,C40,D40,""))</f>
        <v>0</v>
      </c>
      <c r="H40" s="32" t="str">
        <f>IF(OR(G40="DOE Does Not Allow Equipment Maintenance Selection",G40="Degradation Not Allowed"),""," SEER2")</f>
        <v xml:space="preserve"> SEER2</v>
      </c>
      <c r="J40" s="186"/>
      <c r="L40" s="131"/>
      <c r="M40" s="131"/>
      <c r="N40" s="131"/>
      <c r="O40" s="131"/>
      <c r="P40" s="131"/>
      <c r="Q40" s="131"/>
      <c r="R40" s="131"/>
      <c r="S40" s="131"/>
      <c r="T40" s="131"/>
      <c r="U40" s="131"/>
      <c r="W40" s="161"/>
      <c r="X40" s="161"/>
      <c r="Y40" s="161"/>
      <c r="Z40" s="161"/>
      <c r="AA40" s="161"/>
      <c r="AB40" s="161"/>
      <c r="AC40" s="161"/>
    </row>
    <row r="41" spans="1:31" ht="16.5" customHeight="1" x14ac:dyDescent="0.35">
      <c r="A41" s="230" t="s">
        <v>169</v>
      </c>
      <c r="B41" s="231"/>
      <c r="C41" s="231"/>
      <c r="D41" s="231"/>
      <c r="E41" s="231"/>
      <c r="F41" s="231"/>
      <c r="G41" s="231"/>
      <c r="H41" s="291" t="str">
        <f>IF(H31&gt;1980,CONCATENATE(G39,H39),"")</f>
        <v/>
      </c>
      <c r="I41" s="291"/>
      <c r="J41" s="292"/>
      <c r="L41" s="187" t="s">
        <v>174</v>
      </c>
      <c r="M41" s="9" t="s">
        <v>67</v>
      </c>
      <c r="N41" s="9"/>
      <c r="O41" s="9"/>
      <c r="P41" s="9"/>
      <c r="Q41" s="9"/>
      <c r="R41" s="9"/>
      <c r="S41" s="9"/>
      <c r="T41" s="9"/>
      <c r="U41" s="9"/>
      <c r="AD41" s="10">
        <v>2006</v>
      </c>
      <c r="AE41" s="10">
        <v>12</v>
      </c>
    </row>
    <row r="42" spans="1:31" ht="16.5" customHeight="1" thickBot="1" x14ac:dyDescent="0.4">
      <c r="A42" s="232" t="s">
        <v>170</v>
      </c>
      <c r="B42" s="233"/>
      <c r="C42" s="234" t="s">
        <v>182</v>
      </c>
      <c r="D42" s="234"/>
      <c r="E42" s="233"/>
      <c r="F42" s="233"/>
      <c r="G42" s="235"/>
      <c r="H42" s="293" t="str">
        <f>IF(H31&gt;1980,CONCATENATE(G40,H40),"")</f>
        <v/>
      </c>
      <c r="I42" s="294"/>
      <c r="J42" s="295"/>
      <c r="L42" s="187" t="s">
        <v>174</v>
      </c>
      <c r="M42" s="9" t="s">
        <v>67</v>
      </c>
      <c r="N42" s="9"/>
      <c r="O42" s="9"/>
      <c r="P42" s="9"/>
      <c r="Q42" s="9"/>
      <c r="R42" s="9"/>
      <c r="S42" s="9"/>
      <c r="T42" s="9"/>
      <c r="U42" s="9"/>
      <c r="AD42" s="10">
        <v>2006</v>
      </c>
      <c r="AE42" s="10">
        <v>12</v>
      </c>
    </row>
    <row r="43" spans="1:31" ht="16.5" customHeight="1" x14ac:dyDescent="0.35">
      <c r="A43" s="67" t="s">
        <v>3</v>
      </c>
      <c r="H43" s="203" t="s">
        <v>0</v>
      </c>
      <c r="I43" s="204"/>
      <c r="J43" s="205"/>
      <c r="L43" s="187"/>
      <c r="M43" s="9"/>
      <c r="AD43" s="10">
        <v>2007</v>
      </c>
      <c r="AE43" s="10">
        <v>12</v>
      </c>
    </row>
    <row r="44" spans="1:31" ht="16.5" customHeight="1" x14ac:dyDescent="0.35">
      <c r="A44" s="67" t="s">
        <v>80</v>
      </c>
      <c r="H44" s="203" t="s">
        <v>105</v>
      </c>
      <c r="I44"/>
      <c r="AD44" s="10">
        <v>2008</v>
      </c>
      <c r="AE44" s="10">
        <v>12</v>
      </c>
    </row>
    <row r="45" spans="1:31" ht="16.5" customHeight="1" x14ac:dyDescent="0.35">
      <c r="A45" s="67" t="s">
        <v>2</v>
      </c>
      <c r="H45"/>
      <c r="I45"/>
      <c r="AD45" s="10">
        <v>2009</v>
      </c>
      <c r="AE45" s="10">
        <v>14</v>
      </c>
    </row>
    <row r="46" spans="1:31" ht="16.5" customHeight="1" x14ac:dyDescent="0.35">
      <c r="A46" s="67" t="s">
        <v>1</v>
      </c>
      <c r="H46"/>
      <c r="I46"/>
      <c r="J46" s="31" t="s">
        <v>165</v>
      </c>
      <c r="AD46" s="10">
        <v>2010</v>
      </c>
      <c r="AE46" s="10">
        <v>14</v>
      </c>
    </row>
    <row r="47" spans="1:31" ht="16.5" customHeight="1" x14ac:dyDescent="0.35">
      <c r="H47"/>
      <c r="I47"/>
      <c r="AD47" s="10">
        <v>2011</v>
      </c>
      <c r="AE47" s="10">
        <v>14</v>
      </c>
    </row>
    <row r="48" spans="1:31" ht="16.5" customHeight="1" x14ac:dyDescent="0.3">
      <c r="J48" s="31"/>
      <c r="AD48" s="10">
        <v>2012</v>
      </c>
      <c r="AE48" s="10">
        <v>14</v>
      </c>
    </row>
    <row r="49" spans="8:31" ht="16.5" customHeight="1" x14ac:dyDescent="0.3">
      <c r="H49" s="206"/>
      <c r="AD49" s="10">
        <v>2013</v>
      </c>
      <c r="AE49" s="10">
        <v>14</v>
      </c>
    </row>
    <row r="50" spans="8:31" ht="16.5" customHeight="1" x14ac:dyDescent="0.3">
      <c r="H50" s="206"/>
      <c r="AD50" s="10">
        <v>2014</v>
      </c>
      <c r="AE50" s="10">
        <v>14.5</v>
      </c>
    </row>
    <row r="51" spans="8:31" ht="16.5" customHeight="1" x14ac:dyDescent="0.35">
      <c r="H51"/>
      <c r="AD51" s="10">
        <v>2015</v>
      </c>
      <c r="AE51" s="10">
        <v>14.5</v>
      </c>
    </row>
    <row r="52" spans="8:31" ht="16.5" customHeight="1" x14ac:dyDescent="0.3">
      <c r="AD52" s="10">
        <v>2016</v>
      </c>
      <c r="AE52" s="10">
        <v>15</v>
      </c>
    </row>
    <row r="53" spans="8:31" ht="16.5" customHeight="1" x14ac:dyDescent="0.35">
      <c r="I53"/>
      <c r="J53" s="15"/>
      <c r="AD53" s="10">
        <v>2017</v>
      </c>
      <c r="AE53" s="10">
        <v>15</v>
      </c>
    </row>
    <row r="54" spans="8:31" ht="16.5" customHeight="1" x14ac:dyDescent="0.3">
      <c r="AD54" s="10">
        <v>2018</v>
      </c>
      <c r="AE54" s="10">
        <v>15</v>
      </c>
    </row>
    <row r="55" spans="8:31" ht="16.5" customHeight="1" x14ac:dyDescent="0.3">
      <c r="J55" s="30"/>
      <c r="AD55" s="10">
        <v>2019</v>
      </c>
      <c r="AE55" s="10">
        <v>15</v>
      </c>
    </row>
    <row r="56" spans="8:31" ht="16.5" customHeight="1" x14ac:dyDescent="0.3">
      <c r="AD56" s="10">
        <v>2020</v>
      </c>
      <c r="AE56" s="10">
        <v>15</v>
      </c>
    </row>
    <row r="57" spans="8:31" ht="16.5" customHeight="1" x14ac:dyDescent="0.3">
      <c r="AD57" s="10">
        <v>2021</v>
      </c>
      <c r="AE57" s="10">
        <v>15</v>
      </c>
    </row>
    <row r="58" spans="8:31" ht="16.5" customHeight="1" x14ac:dyDescent="0.3">
      <c r="AD58" s="10">
        <v>2022</v>
      </c>
      <c r="AE58" s="10">
        <v>15</v>
      </c>
    </row>
    <row r="59" spans="8:31" ht="16.5" customHeight="1" x14ac:dyDescent="0.3">
      <c r="AD59" s="10">
        <v>2023</v>
      </c>
      <c r="AE59" s="10">
        <v>15.2</v>
      </c>
    </row>
    <row r="60" spans="8:31" ht="16.5" customHeight="1" x14ac:dyDescent="0.3">
      <c r="AD60" s="10">
        <v>2024</v>
      </c>
      <c r="AE60" s="10">
        <v>15.2</v>
      </c>
    </row>
    <row r="61" spans="8:31" ht="16.5" customHeight="1" x14ac:dyDescent="0.3">
      <c r="AD61" s="10">
        <v>2025</v>
      </c>
      <c r="AE61" s="10">
        <v>15.2</v>
      </c>
    </row>
    <row r="62" spans="8:31" ht="16.5" customHeight="1" x14ac:dyDescent="0.3">
      <c r="AD62" s="34">
        <v>2026</v>
      </c>
      <c r="AE62" s="34">
        <v>15.2</v>
      </c>
    </row>
  </sheetData>
  <sheetProtection selectLockedCells="1"/>
  <mergeCells count="44">
    <mergeCell ref="A38:G38"/>
    <mergeCell ref="H38:J38"/>
    <mergeCell ref="H41:J41"/>
    <mergeCell ref="H42:J42"/>
    <mergeCell ref="A31:G31"/>
    <mergeCell ref="H31:J31"/>
    <mergeCell ref="A33:G33"/>
    <mergeCell ref="A35:G35"/>
    <mergeCell ref="A36:G36"/>
    <mergeCell ref="H36:J36"/>
    <mergeCell ref="H22:J22"/>
    <mergeCell ref="A28:J28"/>
    <mergeCell ref="A29:G29"/>
    <mergeCell ref="H29:J29"/>
    <mergeCell ref="A30:G30"/>
    <mergeCell ref="H30:J30"/>
    <mergeCell ref="A20:G20"/>
    <mergeCell ref="H20:J20"/>
    <mergeCell ref="A9:G9"/>
    <mergeCell ref="H9:J9"/>
    <mergeCell ref="A12:G12"/>
    <mergeCell ref="I12:J12"/>
    <mergeCell ref="A14:G14"/>
    <mergeCell ref="H14:J14"/>
    <mergeCell ref="H15:J15"/>
    <mergeCell ref="A16:G16"/>
    <mergeCell ref="A18:G18"/>
    <mergeCell ref="H18:J18"/>
    <mergeCell ref="H19:J19"/>
    <mergeCell ref="A8:G8"/>
    <mergeCell ref="H8:J8"/>
    <mergeCell ref="A1:J1"/>
    <mergeCell ref="A2:J2"/>
    <mergeCell ref="A3:B3"/>
    <mergeCell ref="C3:G3"/>
    <mergeCell ref="H3:I3"/>
    <mergeCell ref="A4:B4"/>
    <mergeCell ref="C4:G4"/>
    <mergeCell ref="H4:J4"/>
    <mergeCell ref="A5:J5"/>
    <mergeCell ref="A6:G6"/>
    <mergeCell ref="H6:J6"/>
    <mergeCell ref="A7:G7"/>
    <mergeCell ref="H7:J7"/>
  </mergeCells>
  <dataValidations count="21">
    <dataValidation allowBlank="1" showInputMessage="1" showErrorMessage="1" promptTitle="Existing EER" prompt="Enter the EER as found on the plate of the existing unit.  If the EER cannot be found skip this entry and meter the unit._x000a_" sqref="IT65466 H65467:I65467" xr:uid="{745B18DE-5D94-445E-8353-E25AC18471EF}"/>
    <dataValidation allowBlank="1" showInputMessage="1" showErrorMessage="1" promptTitle="Existing BTUs" prompt="Enter the BTUs if it can be found on the unit.  If it cannot be found the assessor must estimate and take a photo of the unit.  Window units range from 5,000 to 24,000." sqref="IT65468 H65469:I65469" xr:uid="{1A77E138-6832-4C37-B2CC-1754D6126595}"/>
    <dataValidation allowBlank="1" showInputMessage="1" showErrorMessage="1" promptTitle="Existing Amps" prompt="Enter the amps found on the plate.  If the amps cannot be found enter the amps reading using a comsuption meter or amp meter." sqref="IT65470 H65471:I65471" xr:uid="{5D48651B-D61D-4BB4-A880-04CECCA1CD41}"/>
    <dataValidation allowBlank="1" showInputMessage="1" showErrorMessage="1" promptTitle="Existing Volts" prompt="Enter the amount of volts based on the outlet.  110 volts are used by regular outlets.  220 volts are used by larger ACs." sqref="IT65472 H65473:I65473" xr:uid="{05B5DD09-A867-4AF1-9546-433791140603}"/>
    <dataValidation allowBlank="1" showInputMessage="1" showErrorMessage="1" prompt="% EER increase using plate" sqref="IV65477" xr:uid="{0812E789-89F2-4B63-958E-C061CB740291}"/>
    <dataValidation allowBlank="1" showInputMessage="1" showErrorMessage="1" promptTitle="Replacement EER" prompt="Enter the EER found on the (Yellow) Energy Guide of the new replacement unit." sqref="IW65466" xr:uid="{1824E811-71BF-4BD4-9804-ABE2F972D697}"/>
    <dataValidation allowBlank="1" showInputMessage="1" showErrorMessage="1" prompt="% decrease using amps" sqref="IV65480" xr:uid="{BD734CF4-3336-474B-9143-3CFD01D9A386}"/>
    <dataValidation type="list" allowBlank="1" showInputMessage="1" showErrorMessage="1" promptTitle="Equipment Maintenance" prompt="Through discussion with the client, select the appropriate maintenance done on the piece of equipment being evaluated." sqref="H36:J36" xr:uid="{959727A3-A361-46BA-A33B-AD3DFAF982F2}">
      <formula1>"Select Equipment Maintenance Factor, Annual Professional Maintenance, Seldom or Never Maintained"</formula1>
    </dataValidation>
    <dataValidation allowBlank="1" showInputMessage="1" showErrorMessage="1" promptTitle="Heat Pump" prompt="Base efficiency for a heat pump is considered 100% unless determined otherwise with documented detail test results." sqref="I16:I17" xr:uid="{5EAE56BE-F104-41BD-97D6-FEAE34483B77}"/>
    <dataValidation allowBlank="1" showInputMessage="1" showErrorMessage="1" promptTitle="Existing SEER/EER" prompt="Enter the SEER or EER as found on the plate of the existing unit. If SEER/EER cannot be found on unit, refer to Table 3 to the right for approximate SEER/EER for unit._x000a_" sqref="I33" xr:uid="{43994C89-F9BB-4364-A8AB-4EFE1DB9D6B2}"/>
    <dataValidation allowBlank="1" showInputMessage="1" showErrorMessage="1" promptTitle="Degraded SEER/EER" prompt="This will auto-calculate the degraded SEER/EER of the existing unit. " sqref="H41:I42" xr:uid="{0A870608-5580-4970-9BE2-93A26C69760B}"/>
    <dataValidation type="whole" allowBlank="1" showInputMessage="1" showErrorMessage="1" promptTitle="Manufactured Year" prompt="Enter the manufactured year as found on the plate of the existing unit. The manufactured year is either identified individually, or in the serial number (typically within first 4 digits). If age cannot be determined, this calculation is not applicable.._x000a_" sqref="H31:I31" xr:uid="{3A87CE55-D8AF-42A3-89FD-443CB3DE1A51}">
      <formula1>0</formula1>
      <formula2>2099</formula2>
    </dataValidation>
    <dataValidation type="list" allowBlank="1" showInputMessage="1" showErrorMessage="1" promptTitle="Cooling Equipment" prompt="Select central cooling equipment type" sqref="H30:J30" xr:uid="{2088B685-5F44-414A-BE21-599FBC3171FE}">
      <formula1>"Select Cooling Equipment, Split System AC, Heat Pump, Evaporative Cooler"</formula1>
    </dataValidation>
    <dataValidation type="list" allowBlank="1" showInputMessage="1" showErrorMessage="1" promptTitle="Equipment Maintenance" prompt="Through discussion with the client, select the appropriate maintenance done on the piece of equipment being evaluated." sqref="H18:I18" xr:uid="{D6A30420-3518-4DBC-9278-97E9760D2E03}">
      <formula1>"Select Appropriate Maintenance Level, Annual Professional Maintenance, Seldom or Never Maintained"</formula1>
    </dataValidation>
    <dataValidation type="whole" allowBlank="1" showInputMessage="1" showErrorMessage="1" promptTitle="Manufactured Year" prompt="Enter the manufactured year as found on the plate of the existing unit. If the year cannot be determined, the age of this unit must be determined in another way; if age cannot be determined, this calculation is not applicable." sqref="H9:I9" xr:uid="{D3B83828-95C5-46F9-82BD-977AF800FE50}">
      <formula1>0</formula1>
      <formula2>2099</formula2>
    </dataValidation>
    <dataValidation allowBlank="1" showInputMessage="1" showErrorMessage="1" promptTitle="Gas Unit" prompt="Enter the AFUE/efficiency as found on the combustion analyzer test results during the assessment." sqref="H12" xr:uid="{8A86AA8B-8052-42F3-AF15-9FBDDBB8FB81}"/>
    <dataValidation allowBlank="1" showInputMessage="1" showErrorMessage="1" promptTitle="Electric Resistance Heat" prompt="Base efficiency for electric resistance heating is considered 100% unless determined otherwise with documented detail test results." sqref="H14:I14" xr:uid="{0E2995B6-DCEE-4032-ACCB-B4DE402A0250}"/>
    <dataValidation type="list" allowBlank="1" showInputMessage="1" showErrorMessage="1" promptTitle="Furnace Type" prompt="Select furnace type" sqref="H8:J8" xr:uid="{6F28B0CC-9A96-468C-ACBE-EE20574F1D0D}">
      <formula1>"Select Furnace Type, Gas Furnace, Electric Resistance Furnace, Heat Pump"</formula1>
    </dataValidation>
    <dataValidation type="whole" allowBlank="1" showInputMessage="1" showErrorMessage="1" promptTitle="Current Calendar Year" prompt="Enter the current calendar year as of the date of the assessment." sqref="J3" xr:uid="{5D72CA0B-7E21-4C95-BA71-0F3BE525E40B}">
      <formula1>0</formula1>
      <formula2>2099</formula2>
    </dataValidation>
    <dataValidation type="list" allowBlank="1" showInputMessage="1" showErrorMessage="1" promptTitle="Furnace Location" prompt="Select location of existing furnace" sqref="H6:J6" xr:uid="{E49FCCD8-BD85-4955-8BAA-1E575AEE0C35}">
      <formula1>"Select Furnace Location, Conditioned Space, Unconditioned Space"</formula1>
    </dataValidation>
    <dataValidation type="list" allowBlank="1" showInputMessage="1" showErrorMessage="1" promptTitle="Funding Source" prompt="The auditor must select the funding source that is being used to justify the replacement. Determine whether LIHEAP or DOE will ultimately pay for the replacement, and choose that source accordingly." sqref="H7:J7 H29:J29" xr:uid="{E9DECBC7-9265-4A9C-B71F-9AC46634F8B3}">
      <formula1>"Select Funding Source, DOE, LIHEAP"</formula1>
    </dataValidation>
  </dataValidations>
  <hyperlinks>
    <hyperlink ref="H43" r:id="rId1" xr:uid="{5E759F04-8EAB-4A49-A963-515425E053B2}"/>
    <hyperlink ref="A27" r:id="rId2" xr:uid="{1E6E4E67-5F2A-4675-9799-E7C7BF1F63CD}"/>
    <hyperlink ref="A31" r:id="rId3" display="Building Intelligence Center" xr:uid="{FBBBBE01-F841-4DCC-85C4-707A22E5C807}"/>
    <hyperlink ref="H44" r:id="rId4" xr:uid="{12EA6984-C4A1-48FE-AE62-8F530D87BBDD}"/>
  </hyperlinks>
  <pageMargins left="0.7" right="0.7" top="0.25" bottom="0.25" header="0.3" footer="0.3"/>
  <pageSetup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28F3-35C9-4952-9622-203492983140}">
  <dimension ref="A1:J63"/>
  <sheetViews>
    <sheetView showGridLines="0" zoomScaleNormal="100" workbookViewId="0">
      <selection activeCell="C7" sqref="C7:D7"/>
    </sheetView>
  </sheetViews>
  <sheetFormatPr defaultRowHeight="13" x14ac:dyDescent="0.3"/>
  <cols>
    <col min="1" max="1" width="42.7265625" style="7" customWidth="1"/>
    <col min="2" max="2" width="19.7265625" style="7" customWidth="1"/>
    <col min="3" max="3" width="5.7265625" style="7" customWidth="1"/>
    <col min="4" max="4" width="19.7265625" style="7" customWidth="1"/>
    <col min="5" max="5" width="4.7265625" style="7" customWidth="1"/>
    <col min="6" max="249" width="9.1796875" style="7"/>
    <col min="250" max="250" width="32.81640625" style="7" customWidth="1"/>
    <col min="251" max="251" width="12.81640625" style="7" customWidth="1"/>
    <col min="252" max="252" width="9.26953125" style="7" bestFit="1" customWidth="1"/>
    <col min="253" max="253" width="12.81640625" style="7" customWidth="1"/>
    <col min="254" max="254" width="17.26953125" style="7" customWidth="1"/>
    <col min="255" max="255" width="2.1796875" style="7" customWidth="1"/>
    <col min="256" max="256" width="9.1796875" style="7"/>
    <col min="257" max="257" width="42.7265625" style="7" customWidth="1"/>
    <col min="258" max="258" width="19.7265625" style="7" customWidth="1"/>
    <col min="259" max="259" width="5.7265625" style="7" customWidth="1"/>
    <col min="260" max="260" width="19.7265625" style="7" customWidth="1"/>
    <col min="261" max="261" width="4.7265625" style="7" customWidth="1"/>
    <col min="262" max="505" width="9.1796875" style="7"/>
    <col min="506" max="506" width="32.81640625" style="7" customWidth="1"/>
    <col min="507" max="507" width="12.81640625" style="7" customWidth="1"/>
    <col min="508" max="508" width="9.26953125" style="7" bestFit="1" customWidth="1"/>
    <col min="509" max="509" width="12.81640625" style="7" customWidth="1"/>
    <col min="510" max="510" width="17.26953125" style="7" customWidth="1"/>
    <col min="511" max="511" width="2.1796875" style="7" customWidth="1"/>
    <col min="512" max="512" width="9.1796875" style="7"/>
    <col min="513" max="513" width="42.7265625" style="7" customWidth="1"/>
    <col min="514" max="514" width="19.7265625" style="7" customWidth="1"/>
    <col min="515" max="515" width="5.7265625" style="7" customWidth="1"/>
    <col min="516" max="516" width="19.7265625" style="7" customWidth="1"/>
    <col min="517" max="517" width="4.7265625" style="7" customWidth="1"/>
    <col min="518" max="761" width="9.1796875" style="7"/>
    <col min="762" max="762" width="32.81640625" style="7" customWidth="1"/>
    <col min="763" max="763" width="12.81640625" style="7" customWidth="1"/>
    <col min="764" max="764" width="9.26953125" style="7" bestFit="1" customWidth="1"/>
    <col min="765" max="765" width="12.81640625" style="7" customWidth="1"/>
    <col min="766" max="766" width="17.26953125" style="7" customWidth="1"/>
    <col min="767" max="767" width="2.1796875" style="7" customWidth="1"/>
    <col min="768" max="768" width="9.1796875" style="7"/>
    <col min="769" max="769" width="42.7265625" style="7" customWidth="1"/>
    <col min="770" max="770" width="19.7265625" style="7" customWidth="1"/>
    <col min="771" max="771" width="5.7265625" style="7" customWidth="1"/>
    <col min="772" max="772" width="19.7265625" style="7" customWidth="1"/>
    <col min="773" max="773" width="4.7265625" style="7" customWidth="1"/>
    <col min="774" max="1017" width="9.1796875" style="7"/>
    <col min="1018" max="1018" width="32.81640625" style="7" customWidth="1"/>
    <col min="1019" max="1019" width="12.81640625" style="7" customWidth="1"/>
    <col min="1020" max="1020" width="9.26953125" style="7" bestFit="1" customWidth="1"/>
    <col min="1021" max="1021" width="12.81640625" style="7" customWidth="1"/>
    <col min="1022" max="1022" width="17.26953125" style="7" customWidth="1"/>
    <col min="1023" max="1023" width="2.1796875" style="7" customWidth="1"/>
    <col min="1024" max="1024" width="9.1796875" style="7"/>
    <col min="1025" max="1025" width="42.7265625" style="7" customWidth="1"/>
    <col min="1026" max="1026" width="19.7265625" style="7" customWidth="1"/>
    <col min="1027" max="1027" width="5.7265625" style="7" customWidth="1"/>
    <col min="1028" max="1028" width="19.7265625" style="7" customWidth="1"/>
    <col min="1029" max="1029" width="4.7265625" style="7" customWidth="1"/>
    <col min="1030" max="1273" width="9.1796875" style="7"/>
    <col min="1274" max="1274" width="32.81640625" style="7" customWidth="1"/>
    <col min="1275" max="1275" width="12.81640625" style="7" customWidth="1"/>
    <col min="1276" max="1276" width="9.26953125" style="7" bestFit="1" customWidth="1"/>
    <col min="1277" max="1277" width="12.81640625" style="7" customWidth="1"/>
    <col min="1278" max="1278" width="17.26953125" style="7" customWidth="1"/>
    <col min="1279" max="1279" width="2.1796875" style="7" customWidth="1"/>
    <col min="1280" max="1280" width="9.1796875" style="7"/>
    <col min="1281" max="1281" width="42.7265625" style="7" customWidth="1"/>
    <col min="1282" max="1282" width="19.7265625" style="7" customWidth="1"/>
    <col min="1283" max="1283" width="5.7265625" style="7" customWidth="1"/>
    <col min="1284" max="1284" width="19.7265625" style="7" customWidth="1"/>
    <col min="1285" max="1285" width="4.7265625" style="7" customWidth="1"/>
    <col min="1286" max="1529" width="9.1796875" style="7"/>
    <col min="1530" max="1530" width="32.81640625" style="7" customWidth="1"/>
    <col min="1531" max="1531" width="12.81640625" style="7" customWidth="1"/>
    <col min="1532" max="1532" width="9.26953125" style="7" bestFit="1" customWidth="1"/>
    <col min="1533" max="1533" width="12.81640625" style="7" customWidth="1"/>
    <col min="1534" max="1534" width="17.26953125" style="7" customWidth="1"/>
    <col min="1535" max="1535" width="2.1796875" style="7" customWidth="1"/>
    <col min="1536" max="1536" width="9.1796875" style="7"/>
    <col min="1537" max="1537" width="42.7265625" style="7" customWidth="1"/>
    <col min="1538" max="1538" width="19.7265625" style="7" customWidth="1"/>
    <col min="1539" max="1539" width="5.7265625" style="7" customWidth="1"/>
    <col min="1540" max="1540" width="19.7265625" style="7" customWidth="1"/>
    <col min="1541" max="1541" width="4.7265625" style="7" customWidth="1"/>
    <col min="1542" max="1785" width="9.1796875" style="7"/>
    <col min="1786" max="1786" width="32.81640625" style="7" customWidth="1"/>
    <col min="1787" max="1787" width="12.81640625" style="7" customWidth="1"/>
    <col min="1788" max="1788" width="9.26953125" style="7" bestFit="1" customWidth="1"/>
    <col min="1789" max="1789" width="12.81640625" style="7" customWidth="1"/>
    <col min="1790" max="1790" width="17.26953125" style="7" customWidth="1"/>
    <col min="1791" max="1791" width="2.1796875" style="7" customWidth="1"/>
    <col min="1792" max="1792" width="9.1796875" style="7"/>
    <col min="1793" max="1793" width="42.7265625" style="7" customWidth="1"/>
    <col min="1794" max="1794" width="19.7265625" style="7" customWidth="1"/>
    <col min="1795" max="1795" width="5.7265625" style="7" customWidth="1"/>
    <col min="1796" max="1796" width="19.7265625" style="7" customWidth="1"/>
    <col min="1797" max="1797" width="4.7265625" style="7" customWidth="1"/>
    <col min="1798" max="2041" width="9.1796875" style="7"/>
    <col min="2042" max="2042" width="32.81640625" style="7" customWidth="1"/>
    <col min="2043" max="2043" width="12.81640625" style="7" customWidth="1"/>
    <col min="2044" max="2044" width="9.26953125" style="7" bestFit="1" customWidth="1"/>
    <col min="2045" max="2045" width="12.81640625" style="7" customWidth="1"/>
    <col min="2046" max="2046" width="17.26953125" style="7" customWidth="1"/>
    <col min="2047" max="2047" width="2.1796875" style="7" customWidth="1"/>
    <col min="2048" max="2048" width="9.1796875" style="7"/>
    <col min="2049" max="2049" width="42.7265625" style="7" customWidth="1"/>
    <col min="2050" max="2050" width="19.7265625" style="7" customWidth="1"/>
    <col min="2051" max="2051" width="5.7265625" style="7" customWidth="1"/>
    <col min="2052" max="2052" width="19.7265625" style="7" customWidth="1"/>
    <col min="2053" max="2053" width="4.7265625" style="7" customWidth="1"/>
    <col min="2054" max="2297" width="9.1796875" style="7"/>
    <col min="2298" max="2298" width="32.81640625" style="7" customWidth="1"/>
    <col min="2299" max="2299" width="12.81640625" style="7" customWidth="1"/>
    <col min="2300" max="2300" width="9.26953125" style="7" bestFit="1" customWidth="1"/>
    <col min="2301" max="2301" width="12.81640625" style="7" customWidth="1"/>
    <col min="2302" max="2302" width="17.26953125" style="7" customWidth="1"/>
    <col min="2303" max="2303" width="2.1796875" style="7" customWidth="1"/>
    <col min="2304" max="2304" width="9.1796875" style="7"/>
    <col min="2305" max="2305" width="42.7265625" style="7" customWidth="1"/>
    <col min="2306" max="2306" width="19.7265625" style="7" customWidth="1"/>
    <col min="2307" max="2307" width="5.7265625" style="7" customWidth="1"/>
    <col min="2308" max="2308" width="19.7265625" style="7" customWidth="1"/>
    <col min="2309" max="2309" width="4.7265625" style="7" customWidth="1"/>
    <col min="2310" max="2553" width="9.1796875" style="7"/>
    <col min="2554" max="2554" width="32.81640625" style="7" customWidth="1"/>
    <col min="2555" max="2555" width="12.81640625" style="7" customWidth="1"/>
    <col min="2556" max="2556" width="9.26953125" style="7" bestFit="1" customWidth="1"/>
    <col min="2557" max="2557" width="12.81640625" style="7" customWidth="1"/>
    <col min="2558" max="2558" width="17.26953125" style="7" customWidth="1"/>
    <col min="2559" max="2559" width="2.1796875" style="7" customWidth="1"/>
    <col min="2560" max="2560" width="9.1796875" style="7"/>
    <col min="2561" max="2561" width="42.7265625" style="7" customWidth="1"/>
    <col min="2562" max="2562" width="19.7265625" style="7" customWidth="1"/>
    <col min="2563" max="2563" width="5.7265625" style="7" customWidth="1"/>
    <col min="2564" max="2564" width="19.7265625" style="7" customWidth="1"/>
    <col min="2565" max="2565" width="4.7265625" style="7" customWidth="1"/>
    <col min="2566" max="2809" width="9.1796875" style="7"/>
    <col min="2810" max="2810" width="32.81640625" style="7" customWidth="1"/>
    <col min="2811" max="2811" width="12.81640625" style="7" customWidth="1"/>
    <col min="2812" max="2812" width="9.26953125" style="7" bestFit="1" customWidth="1"/>
    <col min="2813" max="2813" width="12.81640625" style="7" customWidth="1"/>
    <col min="2814" max="2814" width="17.26953125" style="7" customWidth="1"/>
    <col min="2815" max="2815" width="2.1796875" style="7" customWidth="1"/>
    <col min="2816" max="2816" width="9.1796875" style="7"/>
    <col min="2817" max="2817" width="42.7265625" style="7" customWidth="1"/>
    <col min="2818" max="2818" width="19.7265625" style="7" customWidth="1"/>
    <col min="2819" max="2819" width="5.7265625" style="7" customWidth="1"/>
    <col min="2820" max="2820" width="19.7265625" style="7" customWidth="1"/>
    <col min="2821" max="2821" width="4.7265625" style="7" customWidth="1"/>
    <col min="2822" max="3065" width="9.1796875" style="7"/>
    <col min="3066" max="3066" width="32.81640625" style="7" customWidth="1"/>
    <col min="3067" max="3067" width="12.81640625" style="7" customWidth="1"/>
    <col min="3068" max="3068" width="9.26953125" style="7" bestFit="1" customWidth="1"/>
    <col min="3069" max="3069" width="12.81640625" style="7" customWidth="1"/>
    <col min="3070" max="3070" width="17.26953125" style="7" customWidth="1"/>
    <col min="3071" max="3071" width="2.1796875" style="7" customWidth="1"/>
    <col min="3072" max="3072" width="9.1796875" style="7"/>
    <col min="3073" max="3073" width="42.7265625" style="7" customWidth="1"/>
    <col min="3074" max="3074" width="19.7265625" style="7" customWidth="1"/>
    <col min="3075" max="3075" width="5.7265625" style="7" customWidth="1"/>
    <col min="3076" max="3076" width="19.7265625" style="7" customWidth="1"/>
    <col min="3077" max="3077" width="4.7265625" style="7" customWidth="1"/>
    <col min="3078" max="3321" width="9.1796875" style="7"/>
    <col min="3322" max="3322" width="32.81640625" style="7" customWidth="1"/>
    <col min="3323" max="3323" width="12.81640625" style="7" customWidth="1"/>
    <col min="3324" max="3324" width="9.26953125" style="7" bestFit="1" customWidth="1"/>
    <col min="3325" max="3325" width="12.81640625" style="7" customWidth="1"/>
    <col min="3326" max="3326" width="17.26953125" style="7" customWidth="1"/>
    <col min="3327" max="3327" width="2.1796875" style="7" customWidth="1"/>
    <col min="3328" max="3328" width="9.1796875" style="7"/>
    <col min="3329" max="3329" width="42.7265625" style="7" customWidth="1"/>
    <col min="3330" max="3330" width="19.7265625" style="7" customWidth="1"/>
    <col min="3331" max="3331" width="5.7265625" style="7" customWidth="1"/>
    <col min="3332" max="3332" width="19.7265625" style="7" customWidth="1"/>
    <col min="3333" max="3333" width="4.7265625" style="7" customWidth="1"/>
    <col min="3334" max="3577" width="9.1796875" style="7"/>
    <col min="3578" max="3578" width="32.81640625" style="7" customWidth="1"/>
    <col min="3579" max="3579" width="12.81640625" style="7" customWidth="1"/>
    <col min="3580" max="3580" width="9.26953125" style="7" bestFit="1" customWidth="1"/>
    <col min="3581" max="3581" width="12.81640625" style="7" customWidth="1"/>
    <col min="3582" max="3582" width="17.26953125" style="7" customWidth="1"/>
    <col min="3583" max="3583" width="2.1796875" style="7" customWidth="1"/>
    <col min="3584" max="3584" width="9.1796875" style="7"/>
    <col min="3585" max="3585" width="42.7265625" style="7" customWidth="1"/>
    <col min="3586" max="3586" width="19.7265625" style="7" customWidth="1"/>
    <col min="3587" max="3587" width="5.7265625" style="7" customWidth="1"/>
    <col min="3588" max="3588" width="19.7265625" style="7" customWidth="1"/>
    <col min="3589" max="3589" width="4.7265625" style="7" customWidth="1"/>
    <col min="3590" max="3833" width="9.1796875" style="7"/>
    <col min="3834" max="3834" width="32.81640625" style="7" customWidth="1"/>
    <col min="3835" max="3835" width="12.81640625" style="7" customWidth="1"/>
    <col min="3836" max="3836" width="9.26953125" style="7" bestFit="1" customWidth="1"/>
    <col min="3837" max="3837" width="12.81640625" style="7" customWidth="1"/>
    <col min="3838" max="3838" width="17.26953125" style="7" customWidth="1"/>
    <col min="3839" max="3839" width="2.1796875" style="7" customWidth="1"/>
    <col min="3840" max="3840" width="9.1796875" style="7"/>
    <col min="3841" max="3841" width="42.7265625" style="7" customWidth="1"/>
    <col min="3842" max="3842" width="19.7265625" style="7" customWidth="1"/>
    <col min="3843" max="3843" width="5.7265625" style="7" customWidth="1"/>
    <col min="3844" max="3844" width="19.7265625" style="7" customWidth="1"/>
    <col min="3845" max="3845" width="4.7265625" style="7" customWidth="1"/>
    <col min="3846" max="4089" width="9.1796875" style="7"/>
    <col min="4090" max="4090" width="32.81640625" style="7" customWidth="1"/>
    <col min="4091" max="4091" width="12.81640625" style="7" customWidth="1"/>
    <col min="4092" max="4092" width="9.26953125" style="7" bestFit="1" customWidth="1"/>
    <col min="4093" max="4093" width="12.81640625" style="7" customWidth="1"/>
    <col min="4094" max="4094" width="17.26953125" style="7" customWidth="1"/>
    <col min="4095" max="4095" width="2.1796875" style="7" customWidth="1"/>
    <col min="4096" max="4096" width="9.1796875" style="7"/>
    <col min="4097" max="4097" width="42.7265625" style="7" customWidth="1"/>
    <col min="4098" max="4098" width="19.7265625" style="7" customWidth="1"/>
    <col min="4099" max="4099" width="5.7265625" style="7" customWidth="1"/>
    <col min="4100" max="4100" width="19.7265625" style="7" customWidth="1"/>
    <col min="4101" max="4101" width="4.7265625" style="7" customWidth="1"/>
    <col min="4102" max="4345" width="9.1796875" style="7"/>
    <col min="4346" max="4346" width="32.81640625" style="7" customWidth="1"/>
    <col min="4347" max="4347" width="12.81640625" style="7" customWidth="1"/>
    <col min="4348" max="4348" width="9.26953125" style="7" bestFit="1" customWidth="1"/>
    <col min="4349" max="4349" width="12.81640625" style="7" customWidth="1"/>
    <col min="4350" max="4350" width="17.26953125" style="7" customWidth="1"/>
    <col min="4351" max="4351" width="2.1796875" style="7" customWidth="1"/>
    <col min="4352" max="4352" width="9.1796875" style="7"/>
    <col min="4353" max="4353" width="42.7265625" style="7" customWidth="1"/>
    <col min="4354" max="4354" width="19.7265625" style="7" customWidth="1"/>
    <col min="4355" max="4355" width="5.7265625" style="7" customWidth="1"/>
    <col min="4356" max="4356" width="19.7265625" style="7" customWidth="1"/>
    <col min="4357" max="4357" width="4.7265625" style="7" customWidth="1"/>
    <col min="4358" max="4601" width="9.1796875" style="7"/>
    <col min="4602" max="4602" width="32.81640625" style="7" customWidth="1"/>
    <col min="4603" max="4603" width="12.81640625" style="7" customWidth="1"/>
    <col min="4604" max="4604" width="9.26953125" style="7" bestFit="1" customWidth="1"/>
    <col min="4605" max="4605" width="12.81640625" style="7" customWidth="1"/>
    <col min="4606" max="4606" width="17.26953125" style="7" customWidth="1"/>
    <col min="4607" max="4607" width="2.1796875" style="7" customWidth="1"/>
    <col min="4608" max="4608" width="9.1796875" style="7"/>
    <col min="4609" max="4609" width="42.7265625" style="7" customWidth="1"/>
    <col min="4610" max="4610" width="19.7265625" style="7" customWidth="1"/>
    <col min="4611" max="4611" width="5.7265625" style="7" customWidth="1"/>
    <col min="4612" max="4612" width="19.7265625" style="7" customWidth="1"/>
    <col min="4613" max="4613" width="4.7265625" style="7" customWidth="1"/>
    <col min="4614" max="4857" width="9.1796875" style="7"/>
    <col min="4858" max="4858" width="32.81640625" style="7" customWidth="1"/>
    <col min="4859" max="4859" width="12.81640625" style="7" customWidth="1"/>
    <col min="4860" max="4860" width="9.26953125" style="7" bestFit="1" customWidth="1"/>
    <col min="4861" max="4861" width="12.81640625" style="7" customWidth="1"/>
    <col min="4862" max="4862" width="17.26953125" style="7" customWidth="1"/>
    <col min="4863" max="4863" width="2.1796875" style="7" customWidth="1"/>
    <col min="4864" max="4864" width="9.1796875" style="7"/>
    <col min="4865" max="4865" width="42.7265625" style="7" customWidth="1"/>
    <col min="4866" max="4866" width="19.7265625" style="7" customWidth="1"/>
    <col min="4867" max="4867" width="5.7265625" style="7" customWidth="1"/>
    <col min="4868" max="4868" width="19.7265625" style="7" customWidth="1"/>
    <col min="4869" max="4869" width="4.7265625" style="7" customWidth="1"/>
    <col min="4870" max="5113" width="9.1796875" style="7"/>
    <col min="5114" max="5114" width="32.81640625" style="7" customWidth="1"/>
    <col min="5115" max="5115" width="12.81640625" style="7" customWidth="1"/>
    <col min="5116" max="5116" width="9.26953125" style="7" bestFit="1" customWidth="1"/>
    <col min="5117" max="5117" width="12.81640625" style="7" customWidth="1"/>
    <col min="5118" max="5118" width="17.26953125" style="7" customWidth="1"/>
    <col min="5119" max="5119" width="2.1796875" style="7" customWidth="1"/>
    <col min="5120" max="5120" width="9.1796875" style="7"/>
    <col min="5121" max="5121" width="42.7265625" style="7" customWidth="1"/>
    <col min="5122" max="5122" width="19.7265625" style="7" customWidth="1"/>
    <col min="5123" max="5123" width="5.7265625" style="7" customWidth="1"/>
    <col min="5124" max="5124" width="19.7265625" style="7" customWidth="1"/>
    <col min="5125" max="5125" width="4.7265625" style="7" customWidth="1"/>
    <col min="5126" max="5369" width="9.1796875" style="7"/>
    <col min="5370" max="5370" width="32.81640625" style="7" customWidth="1"/>
    <col min="5371" max="5371" width="12.81640625" style="7" customWidth="1"/>
    <col min="5372" max="5372" width="9.26953125" style="7" bestFit="1" customWidth="1"/>
    <col min="5373" max="5373" width="12.81640625" style="7" customWidth="1"/>
    <col min="5374" max="5374" width="17.26953125" style="7" customWidth="1"/>
    <col min="5375" max="5375" width="2.1796875" style="7" customWidth="1"/>
    <col min="5376" max="5376" width="9.1796875" style="7"/>
    <col min="5377" max="5377" width="42.7265625" style="7" customWidth="1"/>
    <col min="5378" max="5378" width="19.7265625" style="7" customWidth="1"/>
    <col min="5379" max="5379" width="5.7265625" style="7" customWidth="1"/>
    <col min="5380" max="5380" width="19.7265625" style="7" customWidth="1"/>
    <col min="5381" max="5381" width="4.7265625" style="7" customWidth="1"/>
    <col min="5382" max="5625" width="9.1796875" style="7"/>
    <col min="5626" max="5626" width="32.81640625" style="7" customWidth="1"/>
    <col min="5627" max="5627" width="12.81640625" style="7" customWidth="1"/>
    <col min="5628" max="5628" width="9.26953125" style="7" bestFit="1" customWidth="1"/>
    <col min="5629" max="5629" width="12.81640625" style="7" customWidth="1"/>
    <col min="5630" max="5630" width="17.26953125" style="7" customWidth="1"/>
    <col min="5631" max="5631" width="2.1796875" style="7" customWidth="1"/>
    <col min="5632" max="5632" width="9.1796875" style="7"/>
    <col min="5633" max="5633" width="42.7265625" style="7" customWidth="1"/>
    <col min="5634" max="5634" width="19.7265625" style="7" customWidth="1"/>
    <col min="5635" max="5635" width="5.7265625" style="7" customWidth="1"/>
    <col min="5636" max="5636" width="19.7265625" style="7" customWidth="1"/>
    <col min="5637" max="5637" width="4.7265625" style="7" customWidth="1"/>
    <col min="5638" max="5881" width="9.1796875" style="7"/>
    <col min="5882" max="5882" width="32.81640625" style="7" customWidth="1"/>
    <col min="5883" max="5883" width="12.81640625" style="7" customWidth="1"/>
    <col min="5884" max="5884" width="9.26953125" style="7" bestFit="1" customWidth="1"/>
    <col min="5885" max="5885" width="12.81640625" style="7" customWidth="1"/>
    <col min="5886" max="5886" width="17.26953125" style="7" customWidth="1"/>
    <col min="5887" max="5887" width="2.1796875" style="7" customWidth="1"/>
    <col min="5888" max="5888" width="9.1796875" style="7"/>
    <col min="5889" max="5889" width="42.7265625" style="7" customWidth="1"/>
    <col min="5890" max="5890" width="19.7265625" style="7" customWidth="1"/>
    <col min="5891" max="5891" width="5.7265625" style="7" customWidth="1"/>
    <col min="5892" max="5892" width="19.7265625" style="7" customWidth="1"/>
    <col min="5893" max="5893" width="4.7265625" style="7" customWidth="1"/>
    <col min="5894" max="6137" width="9.1796875" style="7"/>
    <col min="6138" max="6138" width="32.81640625" style="7" customWidth="1"/>
    <col min="6139" max="6139" width="12.81640625" style="7" customWidth="1"/>
    <col min="6140" max="6140" width="9.26953125" style="7" bestFit="1" customWidth="1"/>
    <col min="6141" max="6141" width="12.81640625" style="7" customWidth="1"/>
    <col min="6142" max="6142" width="17.26953125" style="7" customWidth="1"/>
    <col min="6143" max="6143" width="2.1796875" style="7" customWidth="1"/>
    <col min="6144" max="6144" width="9.1796875" style="7"/>
    <col min="6145" max="6145" width="42.7265625" style="7" customWidth="1"/>
    <col min="6146" max="6146" width="19.7265625" style="7" customWidth="1"/>
    <col min="6147" max="6147" width="5.7265625" style="7" customWidth="1"/>
    <col min="6148" max="6148" width="19.7265625" style="7" customWidth="1"/>
    <col min="6149" max="6149" width="4.7265625" style="7" customWidth="1"/>
    <col min="6150" max="6393" width="9.1796875" style="7"/>
    <col min="6394" max="6394" width="32.81640625" style="7" customWidth="1"/>
    <col min="6395" max="6395" width="12.81640625" style="7" customWidth="1"/>
    <col min="6396" max="6396" width="9.26953125" style="7" bestFit="1" customWidth="1"/>
    <col min="6397" max="6397" width="12.81640625" style="7" customWidth="1"/>
    <col min="6398" max="6398" width="17.26953125" style="7" customWidth="1"/>
    <col min="6399" max="6399" width="2.1796875" style="7" customWidth="1"/>
    <col min="6400" max="6400" width="9.1796875" style="7"/>
    <col min="6401" max="6401" width="42.7265625" style="7" customWidth="1"/>
    <col min="6402" max="6402" width="19.7265625" style="7" customWidth="1"/>
    <col min="6403" max="6403" width="5.7265625" style="7" customWidth="1"/>
    <col min="6404" max="6404" width="19.7265625" style="7" customWidth="1"/>
    <col min="6405" max="6405" width="4.7265625" style="7" customWidth="1"/>
    <col min="6406" max="6649" width="9.1796875" style="7"/>
    <col min="6650" max="6650" width="32.81640625" style="7" customWidth="1"/>
    <col min="6651" max="6651" width="12.81640625" style="7" customWidth="1"/>
    <col min="6652" max="6652" width="9.26953125" style="7" bestFit="1" customWidth="1"/>
    <col min="6653" max="6653" width="12.81640625" style="7" customWidth="1"/>
    <col min="6654" max="6654" width="17.26953125" style="7" customWidth="1"/>
    <col min="6655" max="6655" width="2.1796875" style="7" customWidth="1"/>
    <col min="6656" max="6656" width="9.1796875" style="7"/>
    <col min="6657" max="6657" width="42.7265625" style="7" customWidth="1"/>
    <col min="6658" max="6658" width="19.7265625" style="7" customWidth="1"/>
    <col min="6659" max="6659" width="5.7265625" style="7" customWidth="1"/>
    <col min="6660" max="6660" width="19.7265625" style="7" customWidth="1"/>
    <col min="6661" max="6661" width="4.7265625" style="7" customWidth="1"/>
    <col min="6662" max="6905" width="9.1796875" style="7"/>
    <col min="6906" max="6906" width="32.81640625" style="7" customWidth="1"/>
    <col min="6907" max="6907" width="12.81640625" style="7" customWidth="1"/>
    <col min="6908" max="6908" width="9.26953125" style="7" bestFit="1" customWidth="1"/>
    <col min="6909" max="6909" width="12.81640625" style="7" customWidth="1"/>
    <col min="6910" max="6910" width="17.26953125" style="7" customWidth="1"/>
    <col min="6911" max="6911" width="2.1796875" style="7" customWidth="1"/>
    <col min="6912" max="6912" width="9.1796875" style="7"/>
    <col min="6913" max="6913" width="42.7265625" style="7" customWidth="1"/>
    <col min="6914" max="6914" width="19.7265625" style="7" customWidth="1"/>
    <col min="6915" max="6915" width="5.7265625" style="7" customWidth="1"/>
    <col min="6916" max="6916" width="19.7265625" style="7" customWidth="1"/>
    <col min="6917" max="6917" width="4.7265625" style="7" customWidth="1"/>
    <col min="6918" max="7161" width="9.1796875" style="7"/>
    <col min="7162" max="7162" width="32.81640625" style="7" customWidth="1"/>
    <col min="7163" max="7163" width="12.81640625" style="7" customWidth="1"/>
    <col min="7164" max="7164" width="9.26953125" style="7" bestFit="1" customWidth="1"/>
    <col min="7165" max="7165" width="12.81640625" style="7" customWidth="1"/>
    <col min="7166" max="7166" width="17.26953125" style="7" customWidth="1"/>
    <col min="7167" max="7167" width="2.1796875" style="7" customWidth="1"/>
    <col min="7168" max="7168" width="9.1796875" style="7"/>
    <col min="7169" max="7169" width="42.7265625" style="7" customWidth="1"/>
    <col min="7170" max="7170" width="19.7265625" style="7" customWidth="1"/>
    <col min="7171" max="7171" width="5.7265625" style="7" customWidth="1"/>
    <col min="7172" max="7172" width="19.7265625" style="7" customWidth="1"/>
    <col min="7173" max="7173" width="4.7265625" style="7" customWidth="1"/>
    <col min="7174" max="7417" width="9.1796875" style="7"/>
    <col min="7418" max="7418" width="32.81640625" style="7" customWidth="1"/>
    <col min="7419" max="7419" width="12.81640625" style="7" customWidth="1"/>
    <col min="7420" max="7420" width="9.26953125" style="7" bestFit="1" customWidth="1"/>
    <col min="7421" max="7421" width="12.81640625" style="7" customWidth="1"/>
    <col min="7422" max="7422" width="17.26953125" style="7" customWidth="1"/>
    <col min="7423" max="7423" width="2.1796875" style="7" customWidth="1"/>
    <col min="7424" max="7424" width="9.1796875" style="7"/>
    <col min="7425" max="7425" width="42.7265625" style="7" customWidth="1"/>
    <col min="7426" max="7426" width="19.7265625" style="7" customWidth="1"/>
    <col min="7427" max="7427" width="5.7265625" style="7" customWidth="1"/>
    <col min="7428" max="7428" width="19.7265625" style="7" customWidth="1"/>
    <col min="7429" max="7429" width="4.7265625" style="7" customWidth="1"/>
    <col min="7430" max="7673" width="9.1796875" style="7"/>
    <col min="7674" max="7674" width="32.81640625" style="7" customWidth="1"/>
    <col min="7675" max="7675" width="12.81640625" style="7" customWidth="1"/>
    <col min="7676" max="7676" width="9.26953125" style="7" bestFit="1" customWidth="1"/>
    <col min="7677" max="7677" width="12.81640625" style="7" customWidth="1"/>
    <col min="7678" max="7678" width="17.26953125" style="7" customWidth="1"/>
    <col min="7679" max="7679" width="2.1796875" style="7" customWidth="1"/>
    <col min="7680" max="7680" width="9.1796875" style="7"/>
    <col min="7681" max="7681" width="42.7265625" style="7" customWidth="1"/>
    <col min="7682" max="7682" width="19.7265625" style="7" customWidth="1"/>
    <col min="7683" max="7683" width="5.7265625" style="7" customWidth="1"/>
    <col min="7684" max="7684" width="19.7265625" style="7" customWidth="1"/>
    <col min="7685" max="7685" width="4.7265625" style="7" customWidth="1"/>
    <col min="7686" max="7929" width="9.1796875" style="7"/>
    <col min="7930" max="7930" width="32.81640625" style="7" customWidth="1"/>
    <col min="7931" max="7931" width="12.81640625" style="7" customWidth="1"/>
    <col min="7932" max="7932" width="9.26953125" style="7" bestFit="1" customWidth="1"/>
    <col min="7933" max="7933" width="12.81640625" style="7" customWidth="1"/>
    <col min="7934" max="7934" width="17.26953125" style="7" customWidth="1"/>
    <col min="7935" max="7935" width="2.1796875" style="7" customWidth="1"/>
    <col min="7936" max="7936" width="9.1796875" style="7"/>
    <col min="7937" max="7937" width="42.7265625" style="7" customWidth="1"/>
    <col min="7938" max="7938" width="19.7265625" style="7" customWidth="1"/>
    <col min="7939" max="7939" width="5.7265625" style="7" customWidth="1"/>
    <col min="7940" max="7940" width="19.7265625" style="7" customWidth="1"/>
    <col min="7941" max="7941" width="4.7265625" style="7" customWidth="1"/>
    <col min="7942" max="8185" width="9.1796875" style="7"/>
    <col min="8186" max="8186" width="32.81640625" style="7" customWidth="1"/>
    <col min="8187" max="8187" width="12.81640625" style="7" customWidth="1"/>
    <col min="8188" max="8188" width="9.26953125" style="7" bestFit="1" customWidth="1"/>
    <col min="8189" max="8189" width="12.81640625" style="7" customWidth="1"/>
    <col min="8190" max="8190" width="17.26953125" style="7" customWidth="1"/>
    <col min="8191" max="8191" width="2.1796875" style="7" customWidth="1"/>
    <col min="8192" max="8192" width="9.1796875" style="7"/>
    <col min="8193" max="8193" width="42.7265625" style="7" customWidth="1"/>
    <col min="8194" max="8194" width="19.7265625" style="7" customWidth="1"/>
    <col min="8195" max="8195" width="5.7265625" style="7" customWidth="1"/>
    <col min="8196" max="8196" width="19.7265625" style="7" customWidth="1"/>
    <col min="8197" max="8197" width="4.7265625" style="7" customWidth="1"/>
    <col min="8198" max="8441" width="9.1796875" style="7"/>
    <col min="8442" max="8442" width="32.81640625" style="7" customWidth="1"/>
    <col min="8443" max="8443" width="12.81640625" style="7" customWidth="1"/>
    <col min="8444" max="8444" width="9.26953125" style="7" bestFit="1" customWidth="1"/>
    <col min="8445" max="8445" width="12.81640625" style="7" customWidth="1"/>
    <col min="8446" max="8446" width="17.26953125" style="7" customWidth="1"/>
    <col min="8447" max="8447" width="2.1796875" style="7" customWidth="1"/>
    <col min="8448" max="8448" width="9.1796875" style="7"/>
    <col min="8449" max="8449" width="42.7265625" style="7" customWidth="1"/>
    <col min="8450" max="8450" width="19.7265625" style="7" customWidth="1"/>
    <col min="8451" max="8451" width="5.7265625" style="7" customWidth="1"/>
    <col min="8452" max="8452" width="19.7265625" style="7" customWidth="1"/>
    <col min="8453" max="8453" width="4.7265625" style="7" customWidth="1"/>
    <col min="8454" max="8697" width="9.1796875" style="7"/>
    <col min="8698" max="8698" width="32.81640625" style="7" customWidth="1"/>
    <col min="8699" max="8699" width="12.81640625" style="7" customWidth="1"/>
    <col min="8700" max="8700" width="9.26953125" style="7" bestFit="1" customWidth="1"/>
    <col min="8701" max="8701" width="12.81640625" style="7" customWidth="1"/>
    <col min="8702" max="8702" width="17.26953125" style="7" customWidth="1"/>
    <col min="8703" max="8703" width="2.1796875" style="7" customWidth="1"/>
    <col min="8704" max="8704" width="9.1796875" style="7"/>
    <col min="8705" max="8705" width="42.7265625" style="7" customWidth="1"/>
    <col min="8706" max="8706" width="19.7265625" style="7" customWidth="1"/>
    <col min="8707" max="8707" width="5.7265625" style="7" customWidth="1"/>
    <col min="8708" max="8708" width="19.7265625" style="7" customWidth="1"/>
    <col min="8709" max="8709" width="4.7265625" style="7" customWidth="1"/>
    <col min="8710" max="8953" width="9.1796875" style="7"/>
    <col min="8954" max="8954" width="32.81640625" style="7" customWidth="1"/>
    <col min="8955" max="8955" width="12.81640625" style="7" customWidth="1"/>
    <col min="8956" max="8956" width="9.26953125" style="7" bestFit="1" customWidth="1"/>
    <col min="8957" max="8957" width="12.81640625" style="7" customWidth="1"/>
    <col min="8958" max="8958" width="17.26953125" style="7" customWidth="1"/>
    <col min="8959" max="8959" width="2.1796875" style="7" customWidth="1"/>
    <col min="8960" max="8960" width="9.1796875" style="7"/>
    <col min="8961" max="8961" width="42.7265625" style="7" customWidth="1"/>
    <col min="8962" max="8962" width="19.7265625" style="7" customWidth="1"/>
    <col min="8963" max="8963" width="5.7265625" style="7" customWidth="1"/>
    <col min="8964" max="8964" width="19.7265625" style="7" customWidth="1"/>
    <col min="8965" max="8965" width="4.7265625" style="7" customWidth="1"/>
    <col min="8966" max="9209" width="9.1796875" style="7"/>
    <col min="9210" max="9210" width="32.81640625" style="7" customWidth="1"/>
    <col min="9211" max="9211" width="12.81640625" style="7" customWidth="1"/>
    <col min="9212" max="9212" width="9.26953125" style="7" bestFit="1" customWidth="1"/>
    <col min="9213" max="9213" width="12.81640625" style="7" customWidth="1"/>
    <col min="9214" max="9214" width="17.26953125" style="7" customWidth="1"/>
    <col min="9215" max="9215" width="2.1796875" style="7" customWidth="1"/>
    <col min="9216" max="9216" width="9.1796875" style="7"/>
    <col min="9217" max="9217" width="42.7265625" style="7" customWidth="1"/>
    <col min="9218" max="9218" width="19.7265625" style="7" customWidth="1"/>
    <col min="9219" max="9219" width="5.7265625" style="7" customWidth="1"/>
    <col min="9220" max="9220" width="19.7265625" style="7" customWidth="1"/>
    <col min="9221" max="9221" width="4.7265625" style="7" customWidth="1"/>
    <col min="9222" max="9465" width="9.1796875" style="7"/>
    <col min="9466" max="9466" width="32.81640625" style="7" customWidth="1"/>
    <col min="9467" max="9467" width="12.81640625" style="7" customWidth="1"/>
    <col min="9468" max="9468" width="9.26953125" style="7" bestFit="1" customWidth="1"/>
    <col min="9469" max="9469" width="12.81640625" style="7" customWidth="1"/>
    <col min="9470" max="9470" width="17.26953125" style="7" customWidth="1"/>
    <col min="9471" max="9471" width="2.1796875" style="7" customWidth="1"/>
    <col min="9472" max="9472" width="9.1796875" style="7"/>
    <col min="9473" max="9473" width="42.7265625" style="7" customWidth="1"/>
    <col min="9474" max="9474" width="19.7265625" style="7" customWidth="1"/>
    <col min="9475" max="9475" width="5.7265625" style="7" customWidth="1"/>
    <col min="9476" max="9476" width="19.7265625" style="7" customWidth="1"/>
    <col min="9477" max="9477" width="4.7265625" style="7" customWidth="1"/>
    <col min="9478" max="9721" width="9.1796875" style="7"/>
    <col min="9722" max="9722" width="32.81640625" style="7" customWidth="1"/>
    <col min="9723" max="9723" width="12.81640625" style="7" customWidth="1"/>
    <col min="9724" max="9724" width="9.26953125" style="7" bestFit="1" customWidth="1"/>
    <col min="9725" max="9725" width="12.81640625" style="7" customWidth="1"/>
    <col min="9726" max="9726" width="17.26953125" style="7" customWidth="1"/>
    <col min="9727" max="9727" width="2.1796875" style="7" customWidth="1"/>
    <col min="9728" max="9728" width="9.1796875" style="7"/>
    <col min="9729" max="9729" width="42.7265625" style="7" customWidth="1"/>
    <col min="9730" max="9730" width="19.7265625" style="7" customWidth="1"/>
    <col min="9731" max="9731" width="5.7265625" style="7" customWidth="1"/>
    <col min="9732" max="9732" width="19.7265625" style="7" customWidth="1"/>
    <col min="9733" max="9733" width="4.7265625" style="7" customWidth="1"/>
    <col min="9734" max="9977" width="9.1796875" style="7"/>
    <col min="9978" max="9978" width="32.81640625" style="7" customWidth="1"/>
    <col min="9979" max="9979" width="12.81640625" style="7" customWidth="1"/>
    <col min="9980" max="9980" width="9.26953125" style="7" bestFit="1" customWidth="1"/>
    <col min="9981" max="9981" width="12.81640625" style="7" customWidth="1"/>
    <col min="9982" max="9982" width="17.26953125" style="7" customWidth="1"/>
    <col min="9983" max="9983" width="2.1796875" style="7" customWidth="1"/>
    <col min="9984" max="9984" width="9.1796875" style="7"/>
    <col min="9985" max="9985" width="42.7265625" style="7" customWidth="1"/>
    <col min="9986" max="9986" width="19.7265625" style="7" customWidth="1"/>
    <col min="9987" max="9987" width="5.7265625" style="7" customWidth="1"/>
    <col min="9988" max="9988" width="19.7265625" style="7" customWidth="1"/>
    <col min="9989" max="9989" width="4.7265625" style="7" customWidth="1"/>
    <col min="9990" max="10233" width="9.1796875" style="7"/>
    <col min="10234" max="10234" width="32.81640625" style="7" customWidth="1"/>
    <col min="10235" max="10235" width="12.81640625" style="7" customWidth="1"/>
    <col min="10236" max="10236" width="9.26953125" style="7" bestFit="1" customWidth="1"/>
    <col min="10237" max="10237" width="12.81640625" style="7" customWidth="1"/>
    <col min="10238" max="10238" width="17.26953125" style="7" customWidth="1"/>
    <col min="10239" max="10239" width="2.1796875" style="7" customWidth="1"/>
    <col min="10240" max="10240" width="9.1796875" style="7"/>
    <col min="10241" max="10241" width="42.7265625" style="7" customWidth="1"/>
    <col min="10242" max="10242" width="19.7265625" style="7" customWidth="1"/>
    <col min="10243" max="10243" width="5.7265625" style="7" customWidth="1"/>
    <col min="10244" max="10244" width="19.7265625" style="7" customWidth="1"/>
    <col min="10245" max="10245" width="4.7265625" style="7" customWidth="1"/>
    <col min="10246" max="10489" width="9.1796875" style="7"/>
    <col min="10490" max="10490" width="32.81640625" style="7" customWidth="1"/>
    <col min="10491" max="10491" width="12.81640625" style="7" customWidth="1"/>
    <col min="10492" max="10492" width="9.26953125" style="7" bestFit="1" customWidth="1"/>
    <col min="10493" max="10493" width="12.81640625" style="7" customWidth="1"/>
    <col min="10494" max="10494" width="17.26953125" style="7" customWidth="1"/>
    <col min="10495" max="10495" width="2.1796875" style="7" customWidth="1"/>
    <col min="10496" max="10496" width="9.1796875" style="7"/>
    <col min="10497" max="10497" width="42.7265625" style="7" customWidth="1"/>
    <col min="10498" max="10498" width="19.7265625" style="7" customWidth="1"/>
    <col min="10499" max="10499" width="5.7265625" style="7" customWidth="1"/>
    <col min="10500" max="10500" width="19.7265625" style="7" customWidth="1"/>
    <col min="10501" max="10501" width="4.7265625" style="7" customWidth="1"/>
    <col min="10502" max="10745" width="9.1796875" style="7"/>
    <col min="10746" max="10746" width="32.81640625" style="7" customWidth="1"/>
    <col min="10747" max="10747" width="12.81640625" style="7" customWidth="1"/>
    <col min="10748" max="10748" width="9.26953125" style="7" bestFit="1" customWidth="1"/>
    <col min="10749" max="10749" width="12.81640625" style="7" customWidth="1"/>
    <col min="10750" max="10750" width="17.26953125" style="7" customWidth="1"/>
    <col min="10751" max="10751" width="2.1796875" style="7" customWidth="1"/>
    <col min="10752" max="10752" width="9.1796875" style="7"/>
    <col min="10753" max="10753" width="42.7265625" style="7" customWidth="1"/>
    <col min="10754" max="10754" width="19.7265625" style="7" customWidth="1"/>
    <col min="10755" max="10755" width="5.7265625" style="7" customWidth="1"/>
    <col min="10756" max="10756" width="19.7265625" style="7" customWidth="1"/>
    <col min="10757" max="10757" width="4.7265625" style="7" customWidth="1"/>
    <col min="10758" max="11001" width="9.1796875" style="7"/>
    <col min="11002" max="11002" width="32.81640625" style="7" customWidth="1"/>
    <col min="11003" max="11003" width="12.81640625" style="7" customWidth="1"/>
    <col min="11004" max="11004" width="9.26953125" style="7" bestFit="1" customWidth="1"/>
    <col min="11005" max="11005" width="12.81640625" style="7" customWidth="1"/>
    <col min="11006" max="11006" width="17.26953125" style="7" customWidth="1"/>
    <col min="11007" max="11007" width="2.1796875" style="7" customWidth="1"/>
    <col min="11008" max="11008" width="9.1796875" style="7"/>
    <col min="11009" max="11009" width="42.7265625" style="7" customWidth="1"/>
    <col min="11010" max="11010" width="19.7265625" style="7" customWidth="1"/>
    <col min="11011" max="11011" width="5.7265625" style="7" customWidth="1"/>
    <col min="11012" max="11012" width="19.7265625" style="7" customWidth="1"/>
    <col min="11013" max="11013" width="4.7265625" style="7" customWidth="1"/>
    <col min="11014" max="11257" width="9.1796875" style="7"/>
    <col min="11258" max="11258" width="32.81640625" style="7" customWidth="1"/>
    <col min="11259" max="11259" width="12.81640625" style="7" customWidth="1"/>
    <col min="11260" max="11260" width="9.26953125" style="7" bestFit="1" customWidth="1"/>
    <col min="11261" max="11261" width="12.81640625" style="7" customWidth="1"/>
    <col min="11262" max="11262" width="17.26953125" style="7" customWidth="1"/>
    <col min="11263" max="11263" width="2.1796875" style="7" customWidth="1"/>
    <col min="11264" max="11264" width="9.1796875" style="7"/>
    <col min="11265" max="11265" width="42.7265625" style="7" customWidth="1"/>
    <col min="11266" max="11266" width="19.7265625" style="7" customWidth="1"/>
    <col min="11267" max="11267" width="5.7265625" style="7" customWidth="1"/>
    <col min="11268" max="11268" width="19.7265625" style="7" customWidth="1"/>
    <col min="11269" max="11269" width="4.7265625" style="7" customWidth="1"/>
    <col min="11270" max="11513" width="9.1796875" style="7"/>
    <col min="11514" max="11514" width="32.81640625" style="7" customWidth="1"/>
    <col min="11515" max="11515" width="12.81640625" style="7" customWidth="1"/>
    <col min="11516" max="11516" width="9.26953125" style="7" bestFit="1" customWidth="1"/>
    <col min="11517" max="11517" width="12.81640625" style="7" customWidth="1"/>
    <col min="11518" max="11518" width="17.26953125" style="7" customWidth="1"/>
    <col min="11519" max="11519" width="2.1796875" style="7" customWidth="1"/>
    <col min="11520" max="11520" width="9.1796875" style="7"/>
    <col min="11521" max="11521" width="42.7265625" style="7" customWidth="1"/>
    <col min="11522" max="11522" width="19.7265625" style="7" customWidth="1"/>
    <col min="11523" max="11523" width="5.7265625" style="7" customWidth="1"/>
    <col min="11524" max="11524" width="19.7265625" style="7" customWidth="1"/>
    <col min="11525" max="11525" width="4.7265625" style="7" customWidth="1"/>
    <col min="11526" max="11769" width="9.1796875" style="7"/>
    <col min="11770" max="11770" width="32.81640625" style="7" customWidth="1"/>
    <col min="11771" max="11771" width="12.81640625" style="7" customWidth="1"/>
    <col min="11772" max="11772" width="9.26953125" style="7" bestFit="1" customWidth="1"/>
    <col min="11773" max="11773" width="12.81640625" style="7" customWidth="1"/>
    <col min="11774" max="11774" width="17.26953125" style="7" customWidth="1"/>
    <col min="11775" max="11775" width="2.1796875" style="7" customWidth="1"/>
    <col min="11776" max="11776" width="9.1796875" style="7"/>
    <col min="11777" max="11777" width="42.7265625" style="7" customWidth="1"/>
    <col min="11778" max="11778" width="19.7265625" style="7" customWidth="1"/>
    <col min="11779" max="11779" width="5.7265625" style="7" customWidth="1"/>
    <col min="11780" max="11780" width="19.7265625" style="7" customWidth="1"/>
    <col min="11781" max="11781" width="4.7265625" style="7" customWidth="1"/>
    <col min="11782" max="12025" width="9.1796875" style="7"/>
    <col min="12026" max="12026" width="32.81640625" style="7" customWidth="1"/>
    <col min="12027" max="12027" width="12.81640625" style="7" customWidth="1"/>
    <col min="12028" max="12028" width="9.26953125" style="7" bestFit="1" customWidth="1"/>
    <col min="12029" max="12029" width="12.81640625" style="7" customWidth="1"/>
    <col min="12030" max="12030" width="17.26953125" style="7" customWidth="1"/>
    <col min="12031" max="12031" width="2.1796875" style="7" customWidth="1"/>
    <col min="12032" max="12032" width="9.1796875" style="7"/>
    <col min="12033" max="12033" width="42.7265625" style="7" customWidth="1"/>
    <col min="12034" max="12034" width="19.7265625" style="7" customWidth="1"/>
    <col min="12035" max="12035" width="5.7265625" style="7" customWidth="1"/>
    <col min="12036" max="12036" width="19.7265625" style="7" customWidth="1"/>
    <col min="12037" max="12037" width="4.7265625" style="7" customWidth="1"/>
    <col min="12038" max="12281" width="9.1796875" style="7"/>
    <col min="12282" max="12282" width="32.81640625" style="7" customWidth="1"/>
    <col min="12283" max="12283" width="12.81640625" style="7" customWidth="1"/>
    <col min="12284" max="12284" width="9.26953125" style="7" bestFit="1" customWidth="1"/>
    <col min="12285" max="12285" width="12.81640625" style="7" customWidth="1"/>
    <col min="12286" max="12286" width="17.26953125" style="7" customWidth="1"/>
    <col min="12287" max="12287" width="2.1796875" style="7" customWidth="1"/>
    <col min="12288" max="12288" width="9.1796875" style="7"/>
    <col min="12289" max="12289" width="42.7265625" style="7" customWidth="1"/>
    <col min="12290" max="12290" width="19.7265625" style="7" customWidth="1"/>
    <col min="12291" max="12291" width="5.7265625" style="7" customWidth="1"/>
    <col min="12292" max="12292" width="19.7265625" style="7" customWidth="1"/>
    <col min="12293" max="12293" width="4.7265625" style="7" customWidth="1"/>
    <col min="12294" max="12537" width="9.1796875" style="7"/>
    <col min="12538" max="12538" width="32.81640625" style="7" customWidth="1"/>
    <col min="12539" max="12539" width="12.81640625" style="7" customWidth="1"/>
    <col min="12540" max="12540" width="9.26953125" style="7" bestFit="1" customWidth="1"/>
    <col min="12541" max="12541" width="12.81640625" style="7" customWidth="1"/>
    <col min="12542" max="12542" width="17.26953125" style="7" customWidth="1"/>
    <col min="12543" max="12543" width="2.1796875" style="7" customWidth="1"/>
    <col min="12544" max="12544" width="9.1796875" style="7"/>
    <col min="12545" max="12545" width="42.7265625" style="7" customWidth="1"/>
    <col min="12546" max="12546" width="19.7265625" style="7" customWidth="1"/>
    <col min="12547" max="12547" width="5.7265625" style="7" customWidth="1"/>
    <col min="12548" max="12548" width="19.7265625" style="7" customWidth="1"/>
    <col min="12549" max="12549" width="4.7265625" style="7" customWidth="1"/>
    <col min="12550" max="12793" width="9.1796875" style="7"/>
    <col min="12794" max="12794" width="32.81640625" style="7" customWidth="1"/>
    <col min="12795" max="12795" width="12.81640625" style="7" customWidth="1"/>
    <col min="12796" max="12796" width="9.26953125" style="7" bestFit="1" customWidth="1"/>
    <col min="12797" max="12797" width="12.81640625" style="7" customWidth="1"/>
    <col min="12798" max="12798" width="17.26953125" style="7" customWidth="1"/>
    <col min="12799" max="12799" width="2.1796875" style="7" customWidth="1"/>
    <col min="12800" max="12800" width="9.1796875" style="7"/>
    <col min="12801" max="12801" width="42.7265625" style="7" customWidth="1"/>
    <col min="12802" max="12802" width="19.7265625" style="7" customWidth="1"/>
    <col min="12803" max="12803" width="5.7265625" style="7" customWidth="1"/>
    <col min="12804" max="12804" width="19.7265625" style="7" customWidth="1"/>
    <col min="12805" max="12805" width="4.7265625" style="7" customWidth="1"/>
    <col min="12806" max="13049" width="9.1796875" style="7"/>
    <col min="13050" max="13050" width="32.81640625" style="7" customWidth="1"/>
    <col min="13051" max="13051" width="12.81640625" style="7" customWidth="1"/>
    <col min="13052" max="13052" width="9.26953125" style="7" bestFit="1" customWidth="1"/>
    <col min="13053" max="13053" width="12.81640625" style="7" customWidth="1"/>
    <col min="13054" max="13054" width="17.26953125" style="7" customWidth="1"/>
    <col min="13055" max="13055" width="2.1796875" style="7" customWidth="1"/>
    <col min="13056" max="13056" width="9.1796875" style="7"/>
    <col min="13057" max="13057" width="42.7265625" style="7" customWidth="1"/>
    <col min="13058" max="13058" width="19.7265625" style="7" customWidth="1"/>
    <col min="13059" max="13059" width="5.7265625" style="7" customWidth="1"/>
    <col min="13060" max="13060" width="19.7265625" style="7" customWidth="1"/>
    <col min="13061" max="13061" width="4.7265625" style="7" customWidth="1"/>
    <col min="13062" max="13305" width="9.1796875" style="7"/>
    <col min="13306" max="13306" width="32.81640625" style="7" customWidth="1"/>
    <col min="13307" max="13307" width="12.81640625" style="7" customWidth="1"/>
    <col min="13308" max="13308" width="9.26953125" style="7" bestFit="1" customWidth="1"/>
    <col min="13309" max="13309" width="12.81640625" style="7" customWidth="1"/>
    <col min="13310" max="13310" width="17.26953125" style="7" customWidth="1"/>
    <col min="13311" max="13311" width="2.1796875" style="7" customWidth="1"/>
    <col min="13312" max="13312" width="9.1796875" style="7"/>
    <col min="13313" max="13313" width="42.7265625" style="7" customWidth="1"/>
    <col min="13314" max="13314" width="19.7265625" style="7" customWidth="1"/>
    <col min="13315" max="13315" width="5.7265625" style="7" customWidth="1"/>
    <col min="13316" max="13316" width="19.7265625" style="7" customWidth="1"/>
    <col min="13317" max="13317" width="4.7265625" style="7" customWidth="1"/>
    <col min="13318" max="13561" width="9.1796875" style="7"/>
    <col min="13562" max="13562" width="32.81640625" style="7" customWidth="1"/>
    <col min="13563" max="13563" width="12.81640625" style="7" customWidth="1"/>
    <col min="13564" max="13564" width="9.26953125" style="7" bestFit="1" customWidth="1"/>
    <col min="13565" max="13565" width="12.81640625" style="7" customWidth="1"/>
    <col min="13566" max="13566" width="17.26953125" style="7" customWidth="1"/>
    <col min="13567" max="13567" width="2.1796875" style="7" customWidth="1"/>
    <col min="13568" max="13568" width="9.1796875" style="7"/>
    <col min="13569" max="13569" width="42.7265625" style="7" customWidth="1"/>
    <col min="13570" max="13570" width="19.7265625" style="7" customWidth="1"/>
    <col min="13571" max="13571" width="5.7265625" style="7" customWidth="1"/>
    <col min="13572" max="13572" width="19.7265625" style="7" customWidth="1"/>
    <col min="13573" max="13573" width="4.7265625" style="7" customWidth="1"/>
    <col min="13574" max="13817" width="9.1796875" style="7"/>
    <col min="13818" max="13818" width="32.81640625" style="7" customWidth="1"/>
    <col min="13819" max="13819" width="12.81640625" style="7" customWidth="1"/>
    <col min="13820" max="13820" width="9.26953125" style="7" bestFit="1" customWidth="1"/>
    <col min="13821" max="13821" width="12.81640625" style="7" customWidth="1"/>
    <col min="13822" max="13822" width="17.26953125" style="7" customWidth="1"/>
    <col min="13823" max="13823" width="2.1796875" style="7" customWidth="1"/>
    <col min="13824" max="13824" width="9.1796875" style="7"/>
    <col min="13825" max="13825" width="42.7265625" style="7" customWidth="1"/>
    <col min="13826" max="13826" width="19.7265625" style="7" customWidth="1"/>
    <col min="13827" max="13827" width="5.7265625" style="7" customWidth="1"/>
    <col min="13828" max="13828" width="19.7265625" style="7" customWidth="1"/>
    <col min="13829" max="13829" width="4.7265625" style="7" customWidth="1"/>
    <col min="13830" max="14073" width="9.1796875" style="7"/>
    <col min="14074" max="14074" width="32.81640625" style="7" customWidth="1"/>
    <col min="14075" max="14075" width="12.81640625" style="7" customWidth="1"/>
    <col min="14076" max="14076" width="9.26953125" style="7" bestFit="1" customWidth="1"/>
    <col min="14077" max="14077" width="12.81640625" style="7" customWidth="1"/>
    <col min="14078" max="14078" width="17.26953125" style="7" customWidth="1"/>
    <col min="14079" max="14079" width="2.1796875" style="7" customWidth="1"/>
    <col min="14080" max="14080" width="9.1796875" style="7"/>
    <col min="14081" max="14081" width="42.7265625" style="7" customWidth="1"/>
    <col min="14082" max="14082" width="19.7265625" style="7" customWidth="1"/>
    <col min="14083" max="14083" width="5.7265625" style="7" customWidth="1"/>
    <col min="14084" max="14084" width="19.7265625" style="7" customWidth="1"/>
    <col min="14085" max="14085" width="4.7265625" style="7" customWidth="1"/>
    <col min="14086" max="14329" width="9.1796875" style="7"/>
    <col min="14330" max="14330" width="32.81640625" style="7" customWidth="1"/>
    <col min="14331" max="14331" width="12.81640625" style="7" customWidth="1"/>
    <col min="14332" max="14332" width="9.26953125" style="7" bestFit="1" customWidth="1"/>
    <col min="14333" max="14333" width="12.81640625" style="7" customWidth="1"/>
    <col min="14334" max="14334" width="17.26953125" style="7" customWidth="1"/>
    <col min="14335" max="14335" width="2.1796875" style="7" customWidth="1"/>
    <col min="14336" max="14336" width="9.1796875" style="7"/>
    <col min="14337" max="14337" width="42.7265625" style="7" customWidth="1"/>
    <col min="14338" max="14338" width="19.7265625" style="7" customWidth="1"/>
    <col min="14339" max="14339" width="5.7265625" style="7" customWidth="1"/>
    <col min="14340" max="14340" width="19.7265625" style="7" customWidth="1"/>
    <col min="14341" max="14341" width="4.7265625" style="7" customWidth="1"/>
    <col min="14342" max="14585" width="9.1796875" style="7"/>
    <col min="14586" max="14586" width="32.81640625" style="7" customWidth="1"/>
    <col min="14587" max="14587" width="12.81640625" style="7" customWidth="1"/>
    <col min="14588" max="14588" width="9.26953125" style="7" bestFit="1" customWidth="1"/>
    <col min="14589" max="14589" width="12.81640625" style="7" customWidth="1"/>
    <col min="14590" max="14590" width="17.26953125" style="7" customWidth="1"/>
    <col min="14591" max="14591" width="2.1796875" style="7" customWidth="1"/>
    <col min="14592" max="14592" width="9.1796875" style="7"/>
    <col min="14593" max="14593" width="42.7265625" style="7" customWidth="1"/>
    <col min="14594" max="14594" width="19.7265625" style="7" customWidth="1"/>
    <col min="14595" max="14595" width="5.7265625" style="7" customWidth="1"/>
    <col min="14596" max="14596" width="19.7265625" style="7" customWidth="1"/>
    <col min="14597" max="14597" width="4.7265625" style="7" customWidth="1"/>
    <col min="14598" max="14841" width="9.1796875" style="7"/>
    <col min="14842" max="14842" width="32.81640625" style="7" customWidth="1"/>
    <col min="14843" max="14843" width="12.81640625" style="7" customWidth="1"/>
    <col min="14844" max="14844" width="9.26953125" style="7" bestFit="1" customWidth="1"/>
    <col min="14845" max="14845" width="12.81640625" style="7" customWidth="1"/>
    <col min="14846" max="14846" width="17.26953125" style="7" customWidth="1"/>
    <col min="14847" max="14847" width="2.1796875" style="7" customWidth="1"/>
    <col min="14848" max="14848" width="9.1796875" style="7"/>
    <col min="14849" max="14849" width="42.7265625" style="7" customWidth="1"/>
    <col min="14850" max="14850" width="19.7265625" style="7" customWidth="1"/>
    <col min="14851" max="14851" width="5.7265625" style="7" customWidth="1"/>
    <col min="14852" max="14852" width="19.7265625" style="7" customWidth="1"/>
    <col min="14853" max="14853" width="4.7265625" style="7" customWidth="1"/>
    <col min="14854" max="15097" width="9.1796875" style="7"/>
    <col min="15098" max="15098" width="32.81640625" style="7" customWidth="1"/>
    <col min="15099" max="15099" width="12.81640625" style="7" customWidth="1"/>
    <col min="15100" max="15100" width="9.26953125" style="7" bestFit="1" customWidth="1"/>
    <col min="15101" max="15101" width="12.81640625" style="7" customWidth="1"/>
    <col min="15102" max="15102" width="17.26953125" style="7" customWidth="1"/>
    <col min="15103" max="15103" width="2.1796875" style="7" customWidth="1"/>
    <col min="15104" max="15104" width="9.1796875" style="7"/>
    <col min="15105" max="15105" width="42.7265625" style="7" customWidth="1"/>
    <col min="15106" max="15106" width="19.7265625" style="7" customWidth="1"/>
    <col min="15107" max="15107" width="5.7265625" style="7" customWidth="1"/>
    <col min="15108" max="15108" width="19.7265625" style="7" customWidth="1"/>
    <col min="15109" max="15109" width="4.7265625" style="7" customWidth="1"/>
    <col min="15110" max="15353" width="9.1796875" style="7"/>
    <col min="15354" max="15354" width="32.81640625" style="7" customWidth="1"/>
    <col min="15355" max="15355" width="12.81640625" style="7" customWidth="1"/>
    <col min="15356" max="15356" width="9.26953125" style="7" bestFit="1" customWidth="1"/>
    <col min="15357" max="15357" width="12.81640625" style="7" customWidth="1"/>
    <col min="15358" max="15358" width="17.26953125" style="7" customWidth="1"/>
    <col min="15359" max="15359" width="2.1796875" style="7" customWidth="1"/>
    <col min="15360" max="15360" width="9.1796875" style="7"/>
    <col min="15361" max="15361" width="42.7265625" style="7" customWidth="1"/>
    <col min="15362" max="15362" width="19.7265625" style="7" customWidth="1"/>
    <col min="15363" max="15363" width="5.7265625" style="7" customWidth="1"/>
    <col min="15364" max="15364" width="19.7265625" style="7" customWidth="1"/>
    <col min="15365" max="15365" width="4.7265625" style="7" customWidth="1"/>
    <col min="15366" max="15609" width="9.1796875" style="7"/>
    <col min="15610" max="15610" width="32.81640625" style="7" customWidth="1"/>
    <col min="15611" max="15611" width="12.81640625" style="7" customWidth="1"/>
    <col min="15612" max="15612" width="9.26953125" style="7" bestFit="1" customWidth="1"/>
    <col min="15613" max="15613" width="12.81640625" style="7" customWidth="1"/>
    <col min="15614" max="15614" width="17.26953125" style="7" customWidth="1"/>
    <col min="15615" max="15615" width="2.1796875" style="7" customWidth="1"/>
    <col min="15616" max="15616" width="9.1796875" style="7"/>
    <col min="15617" max="15617" width="42.7265625" style="7" customWidth="1"/>
    <col min="15618" max="15618" width="19.7265625" style="7" customWidth="1"/>
    <col min="15619" max="15619" width="5.7265625" style="7" customWidth="1"/>
    <col min="15620" max="15620" width="19.7265625" style="7" customWidth="1"/>
    <col min="15621" max="15621" width="4.7265625" style="7" customWidth="1"/>
    <col min="15622" max="15865" width="9.1796875" style="7"/>
    <col min="15866" max="15866" width="32.81640625" style="7" customWidth="1"/>
    <col min="15867" max="15867" width="12.81640625" style="7" customWidth="1"/>
    <col min="15868" max="15868" width="9.26953125" style="7" bestFit="1" customWidth="1"/>
    <col min="15869" max="15869" width="12.81640625" style="7" customWidth="1"/>
    <col min="15870" max="15870" width="17.26953125" style="7" customWidth="1"/>
    <col min="15871" max="15871" width="2.1796875" style="7" customWidth="1"/>
    <col min="15872" max="15872" width="9.1796875" style="7"/>
    <col min="15873" max="15873" width="42.7265625" style="7" customWidth="1"/>
    <col min="15874" max="15874" width="19.7265625" style="7" customWidth="1"/>
    <col min="15875" max="15875" width="5.7265625" style="7" customWidth="1"/>
    <col min="15876" max="15876" width="19.7265625" style="7" customWidth="1"/>
    <col min="15877" max="15877" width="4.7265625" style="7" customWidth="1"/>
    <col min="15878" max="16121" width="9.1796875" style="7"/>
    <col min="16122" max="16122" width="32.81640625" style="7" customWidth="1"/>
    <col min="16123" max="16123" width="12.81640625" style="7" customWidth="1"/>
    <col min="16124" max="16124" width="9.26953125" style="7" bestFit="1" customWidth="1"/>
    <col min="16125" max="16125" width="12.81640625" style="7" customWidth="1"/>
    <col min="16126" max="16126" width="17.26953125" style="7" customWidth="1"/>
    <col min="16127" max="16127" width="2.1796875" style="7" customWidth="1"/>
    <col min="16128" max="16128" width="9.1796875" style="7"/>
    <col min="16129" max="16129" width="42.7265625" style="7" customWidth="1"/>
    <col min="16130" max="16130" width="19.7265625" style="7" customWidth="1"/>
    <col min="16131" max="16131" width="5.7265625" style="7" customWidth="1"/>
    <col min="16132" max="16132" width="19.7265625" style="7" customWidth="1"/>
    <col min="16133" max="16133" width="4.7265625" style="7" customWidth="1"/>
    <col min="16134" max="16377" width="9.1796875" style="7"/>
    <col min="16378" max="16378" width="32.81640625" style="7" customWidth="1"/>
    <col min="16379" max="16379" width="12.81640625" style="7" customWidth="1"/>
    <col min="16380" max="16380" width="9.26953125" style="7" bestFit="1" customWidth="1"/>
    <col min="16381" max="16381" width="12.81640625" style="7" customWidth="1"/>
    <col min="16382" max="16382" width="17.26953125" style="7" customWidth="1"/>
    <col min="16383" max="16383" width="2.1796875" style="7" customWidth="1"/>
    <col min="16384" max="16384" width="9.1796875" style="7"/>
  </cols>
  <sheetData>
    <row r="1" spans="1:7" ht="5.25" customHeight="1" thickBot="1" x14ac:dyDescent="0.35">
      <c r="A1" s="5" t="s">
        <v>106</v>
      </c>
    </row>
    <row r="2" spans="1:7" ht="16" thickBot="1" x14ac:dyDescent="0.4">
      <c r="A2" s="36" t="s">
        <v>107</v>
      </c>
      <c r="B2" s="37"/>
      <c r="C2" s="37"/>
      <c r="D2" s="38"/>
      <c r="E2" s="3" t="s">
        <v>108</v>
      </c>
    </row>
    <row r="3" spans="1:7" ht="15.5" x14ac:dyDescent="0.35">
      <c r="A3" s="39" t="s">
        <v>45</v>
      </c>
      <c r="B3" s="207"/>
      <c r="C3" s="208"/>
      <c r="D3" s="209"/>
      <c r="E3" s="9" t="s">
        <v>172</v>
      </c>
    </row>
    <row r="4" spans="1:7" ht="15.5" x14ac:dyDescent="0.35">
      <c r="A4" s="39" t="s">
        <v>42</v>
      </c>
      <c r="B4" s="210"/>
      <c r="C4" s="211"/>
      <c r="D4" s="212"/>
      <c r="E4" s="9" t="s">
        <v>173</v>
      </c>
    </row>
    <row r="5" spans="1:7" ht="16" thickBot="1" x14ac:dyDescent="0.4">
      <c r="A5" s="40" t="s">
        <v>37</v>
      </c>
      <c r="B5" s="213"/>
      <c r="C5" s="214"/>
      <c r="D5" s="215"/>
      <c r="E5" s="9" t="s">
        <v>36</v>
      </c>
    </row>
    <row r="6" spans="1:7" ht="12" customHeight="1" thickBot="1" x14ac:dyDescent="0.35">
      <c r="A6" s="41"/>
      <c r="B6" s="42"/>
      <c r="C6" s="125"/>
      <c r="D6" s="126"/>
    </row>
    <row r="7" spans="1:7" ht="16" thickBot="1" x14ac:dyDescent="0.4">
      <c r="A7" s="43" t="s">
        <v>109</v>
      </c>
      <c r="B7" s="44"/>
      <c r="C7" s="304"/>
      <c r="D7" s="305"/>
    </row>
    <row r="8" spans="1:7" ht="12" customHeight="1" thickBot="1" x14ac:dyDescent="0.4">
      <c r="A8" s="45"/>
      <c r="B8" s="46"/>
      <c r="C8" s="46"/>
      <c r="D8" s="47"/>
    </row>
    <row r="9" spans="1:7" ht="16" thickBot="1" x14ac:dyDescent="0.4">
      <c r="A9" s="48" t="s">
        <v>110</v>
      </c>
      <c r="B9" s="127" t="s">
        <v>111</v>
      </c>
      <c r="C9" s="44"/>
      <c r="D9" s="128" t="s">
        <v>112</v>
      </c>
      <c r="E9" s="49"/>
      <c r="F9" s="50"/>
      <c r="G9" s="50"/>
    </row>
    <row r="10" spans="1:7" ht="15.5" x14ac:dyDescent="0.35">
      <c r="A10" s="51" t="s">
        <v>113</v>
      </c>
      <c r="B10" s="216"/>
      <c r="C10" s="52">
        <f>B10/60</f>
        <v>0</v>
      </c>
      <c r="D10" s="56"/>
      <c r="E10" s="54"/>
      <c r="F10" s="55"/>
      <c r="G10" s="55"/>
    </row>
    <row r="11" spans="1:7" ht="15.5" x14ac:dyDescent="0.35">
      <c r="A11" s="51" t="s">
        <v>114</v>
      </c>
      <c r="B11" s="217"/>
      <c r="C11" s="52"/>
      <c r="D11" s="56"/>
      <c r="E11" s="54"/>
      <c r="F11" s="55"/>
      <c r="G11" s="55"/>
    </row>
    <row r="12" spans="1:7" ht="15.5" x14ac:dyDescent="0.35">
      <c r="A12" s="51" t="s">
        <v>171</v>
      </c>
      <c r="B12" s="218"/>
      <c r="C12" s="52"/>
      <c r="D12" s="56"/>
      <c r="E12" s="54"/>
      <c r="F12" s="55"/>
      <c r="G12" s="55"/>
    </row>
    <row r="13" spans="1:7" ht="15.5" x14ac:dyDescent="0.35">
      <c r="A13" s="51" t="s">
        <v>115</v>
      </c>
      <c r="B13" s="57">
        <v>8760</v>
      </c>
      <c r="C13" s="52"/>
      <c r="D13" s="58"/>
      <c r="G13" s="55"/>
    </row>
    <row r="14" spans="1:7" ht="15.5" x14ac:dyDescent="0.35">
      <c r="A14" s="51" t="s">
        <v>116</v>
      </c>
      <c r="B14" s="59" t="e">
        <f>B13/C10*B11</f>
        <v>#DIV/0!</v>
      </c>
      <c r="C14" s="52"/>
      <c r="D14" s="219"/>
      <c r="E14" s="54"/>
      <c r="F14" s="55"/>
      <c r="G14" s="55"/>
    </row>
    <row r="15" spans="1:7" ht="15.5" x14ac:dyDescent="0.35">
      <c r="A15" s="51" t="s">
        <v>117</v>
      </c>
      <c r="B15" s="60"/>
      <c r="C15" s="61"/>
      <c r="D15" s="220"/>
      <c r="E15" s="54"/>
      <c r="F15" s="55"/>
      <c r="G15" s="62"/>
    </row>
    <row r="16" spans="1:7" ht="12" customHeight="1" thickBot="1" x14ac:dyDescent="0.4">
      <c r="A16" s="63"/>
      <c r="B16" s="64"/>
      <c r="C16" s="65"/>
      <c r="D16" s="66"/>
      <c r="E16" s="9"/>
      <c r="F16" s="67"/>
      <c r="G16" s="67"/>
    </row>
    <row r="17" spans="1:10" ht="12" customHeight="1" thickBot="1" x14ac:dyDescent="0.4">
      <c r="A17" s="68"/>
      <c r="B17" s="69"/>
      <c r="C17" s="70"/>
      <c r="D17" s="71"/>
      <c r="E17" s="72"/>
      <c r="F17" s="67"/>
      <c r="G17" s="67"/>
    </row>
    <row r="18" spans="1:10" ht="16" thickBot="1" x14ac:dyDescent="0.4">
      <c r="A18" s="51" t="s">
        <v>119</v>
      </c>
      <c r="B18" s="73"/>
      <c r="C18" s="74"/>
      <c r="D18" s="75" t="e">
        <f>(B14-D14)*B12</f>
        <v>#DIV/0!</v>
      </c>
      <c r="E18" s="67"/>
      <c r="F18" s="67"/>
      <c r="G18" s="67"/>
      <c r="I18" s="76"/>
      <c r="J18" s="76"/>
    </row>
    <row r="19" spans="1:10" ht="16" thickBot="1" x14ac:dyDescent="0.4">
      <c r="A19" s="51" t="s">
        <v>120</v>
      </c>
      <c r="B19" s="73"/>
      <c r="C19" s="74"/>
      <c r="D19" s="77" t="e">
        <f>D18*10</f>
        <v>#DIV/0!</v>
      </c>
      <c r="E19" s="67"/>
      <c r="F19" s="67"/>
      <c r="G19" s="67"/>
      <c r="I19" s="78"/>
      <c r="J19" s="78"/>
    </row>
    <row r="20" spans="1:10" ht="16" thickBot="1" x14ac:dyDescent="0.4">
      <c r="A20" s="51" t="s">
        <v>121</v>
      </c>
      <c r="B20" s="73"/>
      <c r="C20" s="74"/>
      <c r="D20" s="79" t="e">
        <f>D19/D15</f>
        <v>#DIV/0!</v>
      </c>
      <c r="E20" s="67"/>
      <c r="F20" s="80"/>
      <c r="G20" s="80"/>
      <c r="I20" s="78"/>
      <c r="J20" s="78"/>
    </row>
    <row r="21" spans="1:10" x14ac:dyDescent="0.3">
      <c r="A21" s="81"/>
      <c r="B21" s="82" t="s">
        <v>122</v>
      </c>
      <c r="C21" s="83"/>
      <c r="D21" s="84"/>
      <c r="F21" s="85"/>
      <c r="G21" s="85"/>
      <c r="I21" s="85"/>
      <c r="J21" s="85"/>
    </row>
    <row r="22" spans="1:10" ht="13.5" thickBot="1" x14ac:dyDescent="0.35">
      <c r="A22" s="86"/>
      <c r="B22" s="65"/>
      <c r="C22" s="65"/>
      <c r="D22" s="87"/>
    </row>
    <row r="23" spans="1:10" x14ac:dyDescent="0.3">
      <c r="A23" s="88"/>
      <c r="D23" s="89"/>
    </row>
    <row r="24" spans="1:10" ht="13.5" thickBot="1" x14ac:dyDescent="0.35">
      <c r="A24" s="88"/>
      <c r="D24" s="89"/>
    </row>
    <row r="25" spans="1:10" ht="16" thickBot="1" x14ac:dyDescent="0.4">
      <c r="A25" s="48" t="s">
        <v>123</v>
      </c>
      <c r="B25" s="90" t="s">
        <v>111</v>
      </c>
      <c r="C25" s="44"/>
      <c r="D25" s="90" t="s">
        <v>112</v>
      </c>
      <c r="E25" s="49" t="s">
        <v>124</v>
      </c>
      <c r="F25" s="9"/>
      <c r="G25" s="9"/>
      <c r="H25" s="9"/>
    </row>
    <row r="26" spans="1:10" ht="15.5" x14ac:dyDescent="0.35">
      <c r="A26" s="51" t="s">
        <v>125</v>
      </c>
      <c r="B26" s="222"/>
      <c r="C26" s="91"/>
      <c r="D26" s="92"/>
      <c r="E26" s="54" t="s">
        <v>174</v>
      </c>
      <c r="F26" s="9" t="s">
        <v>126</v>
      </c>
      <c r="G26" s="9"/>
      <c r="H26" s="9"/>
    </row>
    <row r="27" spans="1:10" ht="15.5" x14ac:dyDescent="0.35">
      <c r="A27" s="51" t="s">
        <v>127</v>
      </c>
      <c r="B27" s="223"/>
      <c r="C27" s="93"/>
      <c r="D27" s="221"/>
      <c r="E27" s="54" t="s">
        <v>174</v>
      </c>
      <c r="F27" s="9" t="s">
        <v>175</v>
      </c>
      <c r="G27" s="9"/>
      <c r="H27" s="9"/>
    </row>
    <row r="28" spans="1:10" ht="15.5" x14ac:dyDescent="0.35">
      <c r="A28" s="51" t="s">
        <v>128</v>
      </c>
      <c r="B28" s="224"/>
      <c r="C28" s="91"/>
      <c r="D28" s="53"/>
      <c r="E28" s="54" t="s">
        <v>174</v>
      </c>
      <c r="F28" s="9" t="s">
        <v>5</v>
      </c>
      <c r="G28" s="9"/>
      <c r="H28" s="9"/>
    </row>
    <row r="29" spans="1:10" ht="15.5" x14ac:dyDescent="0.35">
      <c r="A29" s="51" t="s">
        <v>4</v>
      </c>
      <c r="B29" s="94" t="str">
        <f>IF(B28="Annual Professional Maintenance", "0.01", "0.03")</f>
        <v>0.03</v>
      </c>
      <c r="C29" s="91"/>
      <c r="D29" s="56"/>
      <c r="E29" s="54" t="s">
        <v>174</v>
      </c>
      <c r="F29" s="9" t="s">
        <v>129</v>
      </c>
      <c r="G29" s="9"/>
      <c r="H29" s="9"/>
    </row>
    <row r="30" spans="1:10" ht="15.5" x14ac:dyDescent="0.35">
      <c r="A30" s="51" t="s">
        <v>130</v>
      </c>
      <c r="B30" s="59">
        <f>B27*(1-B29)^(B5-B26)</f>
        <v>0</v>
      </c>
      <c r="C30" s="61"/>
      <c r="D30" s="56"/>
      <c r="E30" s="54" t="s">
        <v>174</v>
      </c>
      <c r="F30" s="9" t="s">
        <v>131</v>
      </c>
      <c r="G30" s="9"/>
      <c r="H30" s="9"/>
    </row>
    <row r="31" spans="1:10" ht="12" customHeight="1" x14ac:dyDescent="0.35">
      <c r="A31" s="51"/>
      <c r="B31" s="95"/>
      <c r="C31" s="61"/>
      <c r="D31" s="56"/>
      <c r="E31" s="9" t="s">
        <v>132</v>
      </c>
      <c r="F31" s="9"/>
      <c r="G31" s="9"/>
      <c r="H31" s="9"/>
    </row>
    <row r="32" spans="1:10" ht="15.5" x14ac:dyDescent="0.35">
      <c r="A32" s="51" t="s">
        <v>133</v>
      </c>
      <c r="B32" s="225"/>
      <c r="C32" s="52"/>
      <c r="D32" s="56"/>
      <c r="E32" s="54" t="s">
        <v>174</v>
      </c>
      <c r="F32" s="9" t="s">
        <v>176</v>
      </c>
      <c r="G32" s="9"/>
      <c r="H32" s="9"/>
    </row>
    <row r="33" spans="1:8" ht="15.5" x14ac:dyDescent="0.35">
      <c r="A33" s="51" t="s">
        <v>134</v>
      </c>
      <c r="B33" s="226"/>
      <c r="C33" s="52"/>
      <c r="D33" s="56"/>
      <c r="E33" s="54" t="s">
        <v>174</v>
      </c>
      <c r="F33" s="9" t="s">
        <v>177</v>
      </c>
      <c r="G33" s="9"/>
      <c r="H33" s="9"/>
    </row>
    <row r="34" spans="1:8" ht="15.5" x14ac:dyDescent="0.35">
      <c r="A34" s="51"/>
      <c r="B34" s="96">
        <f>B33*B35</f>
        <v>0</v>
      </c>
      <c r="C34" s="52"/>
      <c r="D34" s="56"/>
      <c r="E34" s="54" t="s">
        <v>174</v>
      </c>
      <c r="F34" s="9" t="s">
        <v>135</v>
      </c>
      <c r="G34" s="9"/>
      <c r="H34" s="9"/>
    </row>
    <row r="35" spans="1:8" ht="15.5" x14ac:dyDescent="0.35">
      <c r="A35" s="51" t="s">
        <v>136</v>
      </c>
      <c r="B35" s="227"/>
      <c r="C35" s="61"/>
      <c r="D35" s="56"/>
      <c r="E35" s="54" t="s">
        <v>174</v>
      </c>
      <c r="F35" s="9" t="s">
        <v>137</v>
      </c>
      <c r="G35" s="9"/>
      <c r="H35" s="9"/>
    </row>
    <row r="36" spans="1:8" ht="12" customHeight="1" thickBot="1" x14ac:dyDescent="0.4">
      <c r="A36" s="97"/>
      <c r="B36" s="61"/>
      <c r="C36" s="61"/>
      <c r="D36" s="98"/>
      <c r="E36" s="54" t="s">
        <v>174</v>
      </c>
      <c r="F36" s="9" t="s">
        <v>138</v>
      </c>
      <c r="G36" s="9"/>
      <c r="H36" s="9"/>
    </row>
    <row r="37" spans="1:8" ht="16" thickBot="1" x14ac:dyDescent="0.4">
      <c r="A37" s="68"/>
      <c r="B37" s="99"/>
      <c r="C37" s="100"/>
      <c r="D37" s="101"/>
      <c r="E37" s="72" t="s">
        <v>118</v>
      </c>
      <c r="F37" s="9"/>
      <c r="G37" s="9"/>
      <c r="H37" s="9"/>
    </row>
    <row r="38" spans="1:8" ht="16" thickBot="1" x14ac:dyDescent="0.4">
      <c r="A38" s="51" t="s">
        <v>139</v>
      </c>
      <c r="B38" s="52"/>
      <c r="C38" s="61"/>
      <c r="D38" s="102" t="e">
        <f>(D27-C40)*0.1</f>
        <v>#DIV/0!</v>
      </c>
      <c r="E38" s="9" t="s">
        <v>140</v>
      </c>
      <c r="F38" s="9"/>
      <c r="G38" s="9"/>
      <c r="H38" s="9"/>
    </row>
    <row r="39" spans="1:8" ht="16" thickBot="1" x14ac:dyDescent="0.4">
      <c r="A39" s="51"/>
      <c r="B39" s="82" t="s">
        <v>141</v>
      </c>
      <c r="C39" s="83"/>
      <c r="D39" s="103"/>
      <c r="E39" s="9"/>
      <c r="F39" s="9"/>
      <c r="G39" s="9"/>
      <c r="H39" s="9"/>
    </row>
    <row r="40" spans="1:8" ht="16" thickBot="1" x14ac:dyDescent="0.4">
      <c r="A40" s="51" t="s">
        <v>142</v>
      </c>
      <c r="B40" s="52"/>
      <c r="C40" s="52" t="e">
        <f>B32/B34</f>
        <v>#DIV/0!</v>
      </c>
      <c r="D40" s="104">
        <f>(D27-B30)*0.1</f>
        <v>0</v>
      </c>
      <c r="E40" s="9" t="s">
        <v>143</v>
      </c>
      <c r="F40" s="9"/>
      <c r="G40" s="9"/>
      <c r="H40" s="9"/>
    </row>
    <row r="41" spans="1:8" ht="15.5" x14ac:dyDescent="0.35">
      <c r="A41" s="51"/>
      <c r="B41" s="82" t="s">
        <v>144</v>
      </c>
      <c r="C41" s="83"/>
      <c r="D41" s="105"/>
    </row>
    <row r="42" spans="1:8" ht="13.5" thickBot="1" x14ac:dyDescent="0.35">
      <c r="A42" s="86"/>
      <c r="B42" s="65"/>
      <c r="C42" s="65"/>
      <c r="D42" s="106"/>
    </row>
    <row r="44" spans="1:8" ht="16" thickBot="1" x14ac:dyDescent="0.4">
      <c r="G44" s="107"/>
    </row>
    <row r="45" spans="1:8" ht="25.5" customHeight="1" thickBot="1" x14ac:dyDescent="0.35">
      <c r="A45" s="108" t="s">
        <v>145</v>
      </c>
      <c r="B45" s="109"/>
      <c r="D45" s="302" t="s">
        <v>178</v>
      </c>
      <c r="E45" s="303"/>
    </row>
    <row r="46" spans="1:8" ht="43.5" x14ac:dyDescent="0.3">
      <c r="A46" s="110" t="s">
        <v>146</v>
      </c>
      <c r="B46" s="111" t="s">
        <v>147</v>
      </c>
      <c r="D46" s="124" t="s">
        <v>163</v>
      </c>
      <c r="E46" s="124" t="s">
        <v>164</v>
      </c>
    </row>
    <row r="47" spans="1:8" ht="14.5" x14ac:dyDescent="0.35">
      <c r="A47" s="118" t="s">
        <v>148</v>
      </c>
      <c r="B47" s="119">
        <v>5000</v>
      </c>
      <c r="D47" s="117">
        <v>5.8</v>
      </c>
      <c r="E47" s="117">
        <v>6</v>
      </c>
    </row>
    <row r="48" spans="1:8" ht="14.5" x14ac:dyDescent="0.35">
      <c r="A48" s="120" t="s">
        <v>149</v>
      </c>
      <c r="B48" s="121">
        <v>6000</v>
      </c>
      <c r="D48" s="117">
        <v>6.7</v>
      </c>
      <c r="E48" s="117">
        <v>7</v>
      </c>
    </row>
    <row r="49" spans="1:5" ht="14.5" x14ac:dyDescent="0.35">
      <c r="A49" s="120" t="s">
        <v>150</v>
      </c>
      <c r="B49" s="121">
        <v>7000</v>
      </c>
      <c r="D49" s="117">
        <v>7.7</v>
      </c>
      <c r="E49" s="117">
        <v>8</v>
      </c>
    </row>
    <row r="50" spans="1:5" ht="14.5" x14ac:dyDescent="0.35">
      <c r="A50" s="120" t="s">
        <v>151</v>
      </c>
      <c r="B50" s="121">
        <v>8000</v>
      </c>
      <c r="D50" s="117">
        <v>8.6</v>
      </c>
      <c r="E50" s="117">
        <v>9</v>
      </c>
    </row>
    <row r="51" spans="1:5" ht="14.5" x14ac:dyDescent="0.35">
      <c r="A51" s="120" t="s">
        <v>152</v>
      </c>
      <c r="B51" s="121">
        <v>9000</v>
      </c>
      <c r="D51" s="117">
        <v>9.6</v>
      </c>
      <c r="E51" s="117">
        <v>10</v>
      </c>
    </row>
    <row r="52" spans="1:5" ht="14.5" x14ac:dyDescent="0.35">
      <c r="A52" s="120" t="s">
        <v>153</v>
      </c>
      <c r="B52" s="121">
        <v>10000</v>
      </c>
      <c r="D52" s="117">
        <v>10.5</v>
      </c>
      <c r="E52" s="117">
        <v>11</v>
      </c>
    </row>
    <row r="53" spans="1:5" ht="14.5" x14ac:dyDescent="0.35">
      <c r="A53" s="120" t="s">
        <v>154</v>
      </c>
      <c r="B53" s="121">
        <v>12000</v>
      </c>
      <c r="D53" s="117">
        <v>11.5</v>
      </c>
      <c r="E53" s="117">
        <v>12</v>
      </c>
    </row>
    <row r="54" spans="1:5" ht="15" thickBot="1" x14ac:dyDescent="0.4">
      <c r="A54" s="122" t="s">
        <v>155</v>
      </c>
      <c r="B54" s="123">
        <v>14000</v>
      </c>
      <c r="D54" s="117">
        <v>12.5</v>
      </c>
      <c r="E54" s="117">
        <v>13</v>
      </c>
    </row>
    <row r="55" spans="1:5" ht="15" thickBot="1" x14ac:dyDescent="0.4">
      <c r="A55" s="112"/>
      <c r="B55" s="112"/>
      <c r="D55" s="117">
        <v>13.4</v>
      </c>
      <c r="E55" s="117">
        <v>14</v>
      </c>
    </row>
    <row r="56" spans="1:5" ht="15" thickBot="1" x14ac:dyDescent="0.4">
      <c r="A56" s="108" t="s">
        <v>156</v>
      </c>
      <c r="B56" s="109"/>
      <c r="D56" s="117">
        <v>14.4</v>
      </c>
      <c r="E56" s="117">
        <v>15</v>
      </c>
    </row>
    <row r="57" spans="1:5" ht="29" x14ac:dyDescent="0.35">
      <c r="A57" s="110" t="s">
        <v>146</v>
      </c>
      <c r="B57" s="111" t="s">
        <v>147</v>
      </c>
      <c r="D57" s="117">
        <v>15.3</v>
      </c>
      <c r="E57" s="117">
        <v>16</v>
      </c>
    </row>
    <row r="58" spans="1:5" ht="14.5" x14ac:dyDescent="0.35">
      <c r="A58" s="118" t="s">
        <v>157</v>
      </c>
      <c r="B58" s="119">
        <v>18000</v>
      </c>
      <c r="D58" s="117">
        <v>16.3</v>
      </c>
      <c r="E58" s="117">
        <v>17</v>
      </c>
    </row>
    <row r="59" spans="1:5" ht="14.5" x14ac:dyDescent="0.35">
      <c r="A59" s="120" t="s">
        <v>158</v>
      </c>
      <c r="B59" s="121">
        <v>21000</v>
      </c>
      <c r="D59" s="117">
        <v>17.3</v>
      </c>
      <c r="E59" s="117">
        <v>18</v>
      </c>
    </row>
    <row r="60" spans="1:5" ht="14.5" x14ac:dyDescent="0.35">
      <c r="A60" s="120" t="s">
        <v>159</v>
      </c>
      <c r="B60" s="121">
        <v>23000</v>
      </c>
      <c r="D60" s="117">
        <v>18.2</v>
      </c>
      <c r="E60" s="117">
        <v>19</v>
      </c>
    </row>
    <row r="61" spans="1:5" ht="15" thickBot="1" x14ac:dyDescent="0.4">
      <c r="A61" s="122" t="s">
        <v>160</v>
      </c>
      <c r="B61" s="123">
        <v>24000</v>
      </c>
      <c r="D61" s="117">
        <v>19.2</v>
      </c>
      <c r="E61" s="117">
        <v>20</v>
      </c>
    </row>
    <row r="62" spans="1:5" ht="15" thickBot="1" x14ac:dyDescent="0.4">
      <c r="A62" s="113" t="s">
        <v>161</v>
      </c>
      <c r="B62" s="114"/>
    </row>
    <row r="63" spans="1:5" ht="15" thickBot="1" x14ac:dyDescent="0.4">
      <c r="A63" s="115" t="s">
        <v>162</v>
      </c>
      <c r="B63" s="116"/>
    </row>
  </sheetData>
  <protectedRanges>
    <protectedRange password="CF31" sqref="A15:D18" name="Range1"/>
    <protectedRange password="CF31" sqref="C41:D41 A41 A37:D38 A40:D40 C39:D39 A39" name="Range1_1"/>
  </protectedRanges>
  <mergeCells count="2">
    <mergeCell ref="D45:E45"/>
    <mergeCell ref="C7:D7"/>
  </mergeCells>
  <dataValidations count="24">
    <dataValidation type="list" allowBlank="1" showInputMessage="1" showErrorMessage="1" promptTitle="Existing Volts" prompt="Enter the amount of volts based on the outlet.  110 volts are used by regular outlets.  220 volts are used by larger ACs."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xr:uid="{04D9378D-1689-4098-8DD8-C7C98759503E}">
      <formula1>"110, 220"</formula1>
    </dataValidation>
    <dataValidation type="whole" allowBlank="1" showInputMessage="1" showErrorMessage="1" promptTitle="Current Calendar Year" prompt="Enter the current calendar year as of the date of the assessment."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B2858A19-484C-47E2-BF43-303230DF18E6}">
      <formula1>0</formula1>
      <formula2>2099</formula2>
    </dataValidation>
    <dataValidation type="list" allowBlank="1" showInputMessage="1" showErrorMessage="1" sqref="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xr:uid="{51C26718-F422-459C-8807-4C35C206A1F9}">
      <formula1>"LR1, LR2, Kitchen, BR1, BR2, BR3, BR4, Bath1, Bath2, Other"</formula1>
    </dataValidation>
    <dataValidation type="list" allowBlank="1" showInputMessage="1" showErrorMessage="1"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xr:uid="{A9E3195E-1946-42CF-AB27-204DCF0EDFF3}">
      <formula1>"Annual Professional Maintenance, Seldom or Never Maintained"</formula1>
    </dataValidation>
    <dataValidation type="whole" allowBlank="1" showInputMessage="1" showErrorMessage="1" promptTitle="Manufactured Year" prompt="Enter the manufactured year as found on the plate of the existing unit.  If the year cannot be found skip this entry and meter the unit._x000a_"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xr:uid="{230FFAAE-890F-415E-92D9-3F5165B08CE7}">
      <formula1>0</formula1>
      <formula2>2099</formula2>
    </dataValidation>
    <dataValidation allowBlank="1" showInputMessage="1" showErrorMessage="1" promptTitle="Time metered of Existing" prompt="Enter time as minutes.  Example (one hour and three minutes = 63).  Minimum time for metering 30 min." sqref="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XEY10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XEY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XEY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XEY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XEY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XEY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XEY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XEY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XEY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XEY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XEY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XEY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XEY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XEY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XEY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WVC983051 XEY983051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CFA740FD-476A-49F7-A99D-1E1E4A2B6698}"/>
    <dataValidation allowBlank="1" showInputMessage="1" showErrorMessage="1" promptTitle="kWh Reading of Existing" prompt="Enter the kWh reading.  Minimum time for metering is 30 minutes." sqref="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XEY11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XEY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XEY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XEY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XEY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XEY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XEY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XEY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XEY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XEY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XEY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XEY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XEY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XEY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XEY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XEY983052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91D7088E-273B-4957-BF7A-D57D32EE1697}"/>
    <dataValidation allowBlank="1" showInputMessage="1" showErrorMessage="1" promptTitle="Utility Costs of Exsisting" prompt="Enter the cost per kWh in your area.  This usually ranges from .06 to .14." sqref="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XEY12 IQ65549 SM65549 ACI65549 AME65549 AWA65549 BFW65549 BPS65549 BZO65549 CJK65549 CTG65549 DDC65549 DMY65549 DWU65549 EGQ65549 EQM65549 FAI65549 FKE65549 FUA65549 GDW65549 GNS65549 GXO65549 HHK65549 HRG65549 IBC65549 IKY65549 IUU65549 JEQ65549 JOM65549 JYI65549 KIE65549 KSA65549 LBW65549 LLS65549 LVO65549 MFK65549 MPG65549 MZC65549 NIY65549 NSU65549 OCQ65549 OMM65549 OWI65549 PGE65549 PQA65549 PZW65549 QJS65549 QTO65549 RDK65549 RNG65549 RXC65549 SGY65549 SQU65549 TAQ65549 TKM65549 TUI65549 UEE65549 UOA65549 UXW65549 VHS65549 VRO65549 WBK65549 WLG65549 WVC65549 XEY65549 IQ131085 SM131085 ACI131085 AME131085 AWA131085 BFW131085 BPS131085 BZO131085 CJK131085 CTG131085 DDC131085 DMY131085 DWU131085 EGQ131085 EQM131085 FAI131085 FKE131085 FUA131085 GDW131085 GNS131085 GXO131085 HHK131085 HRG131085 IBC131085 IKY131085 IUU131085 JEQ131085 JOM131085 JYI131085 KIE131085 KSA131085 LBW131085 LLS131085 LVO131085 MFK131085 MPG131085 MZC131085 NIY131085 NSU131085 OCQ131085 OMM131085 OWI131085 PGE131085 PQA131085 PZW131085 QJS131085 QTO131085 RDK131085 RNG131085 RXC131085 SGY131085 SQU131085 TAQ131085 TKM131085 TUI131085 UEE131085 UOA131085 UXW131085 VHS131085 VRO131085 WBK131085 WLG131085 WVC131085 XEY131085 IQ196621 SM196621 ACI196621 AME196621 AWA196621 BFW196621 BPS196621 BZO196621 CJK196621 CTG196621 DDC196621 DMY196621 DWU196621 EGQ196621 EQM196621 FAI196621 FKE196621 FUA196621 GDW196621 GNS196621 GXO196621 HHK196621 HRG196621 IBC196621 IKY196621 IUU196621 JEQ196621 JOM196621 JYI196621 KIE196621 KSA196621 LBW196621 LLS196621 LVO196621 MFK196621 MPG196621 MZC196621 NIY196621 NSU196621 OCQ196621 OMM196621 OWI196621 PGE196621 PQA196621 PZW196621 QJS196621 QTO196621 RDK196621 RNG196621 RXC196621 SGY196621 SQU196621 TAQ196621 TKM196621 TUI196621 UEE196621 UOA196621 UXW196621 VHS196621 VRO196621 WBK196621 WLG196621 WVC196621 XEY196621 IQ262157 SM262157 ACI262157 AME262157 AWA262157 BFW262157 BPS262157 BZO262157 CJK262157 CTG262157 DDC262157 DMY262157 DWU262157 EGQ262157 EQM262157 FAI262157 FKE262157 FUA262157 GDW262157 GNS262157 GXO262157 HHK262157 HRG262157 IBC262157 IKY262157 IUU262157 JEQ262157 JOM262157 JYI262157 KIE262157 KSA262157 LBW262157 LLS262157 LVO262157 MFK262157 MPG262157 MZC262157 NIY262157 NSU262157 OCQ262157 OMM262157 OWI262157 PGE262157 PQA262157 PZW262157 QJS262157 QTO262157 RDK262157 RNG262157 RXC262157 SGY262157 SQU262157 TAQ262157 TKM262157 TUI262157 UEE262157 UOA262157 UXW262157 VHS262157 VRO262157 WBK262157 WLG262157 WVC262157 XEY262157 IQ327693 SM327693 ACI327693 AME327693 AWA327693 BFW327693 BPS327693 BZO327693 CJK327693 CTG327693 DDC327693 DMY327693 DWU327693 EGQ327693 EQM327693 FAI327693 FKE327693 FUA327693 GDW327693 GNS327693 GXO327693 HHK327693 HRG327693 IBC327693 IKY327693 IUU327693 JEQ327693 JOM327693 JYI327693 KIE327693 KSA327693 LBW327693 LLS327693 LVO327693 MFK327693 MPG327693 MZC327693 NIY327693 NSU327693 OCQ327693 OMM327693 OWI327693 PGE327693 PQA327693 PZW327693 QJS327693 QTO327693 RDK327693 RNG327693 RXC327693 SGY327693 SQU327693 TAQ327693 TKM327693 TUI327693 UEE327693 UOA327693 UXW327693 VHS327693 VRO327693 WBK327693 WLG327693 WVC327693 XEY327693 IQ393229 SM393229 ACI393229 AME393229 AWA393229 BFW393229 BPS393229 BZO393229 CJK393229 CTG393229 DDC393229 DMY393229 DWU393229 EGQ393229 EQM393229 FAI393229 FKE393229 FUA393229 GDW393229 GNS393229 GXO393229 HHK393229 HRG393229 IBC393229 IKY393229 IUU393229 JEQ393229 JOM393229 JYI393229 KIE393229 KSA393229 LBW393229 LLS393229 LVO393229 MFK393229 MPG393229 MZC393229 NIY393229 NSU393229 OCQ393229 OMM393229 OWI393229 PGE393229 PQA393229 PZW393229 QJS393229 QTO393229 RDK393229 RNG393229 RXC393229 SGY393229 SQU393229 TAQ393229 TKM393229 TUI393229 UEE393229 UOA393229 UXW393229 VHS393229 VRO393229 WBK393229 WLG393229 WVC393229 XEY393229 IQ458765 SM458765 ACI458765 AME458765 AWA458765 BFW458765 BPS458765 BZO458765 CJK458765 CTG458765 DDC458765 DMY458765 DWU458765 EGQ458765 EQM458765 FAI458765 FKE458765 FUA458765 GDW458765 GNS458765 GXO458765 HHK458765 HRG458765 IBC458765 IKY458765 IUU458765 JEQ458765 JOM458765 JYI458765 KIE458765 KSA458765 LBW458765 LLS458765 LVO458765 MFK458765 MPG458765 MZC458765 NIY458765 NSU458765 OCQ458765 OMM458765 OWI458765 PGE458765 PQA458765 PZW458765 QJS458765 QTO458765 RDK458765 RNG458765 RXC458765 SGY458765 SQU458765 TAQ458765 TKM458765 TUI458765 UEE458765 UOA458765 UXW458765 VHS458765 VRO458765 WBK458765 WLG458765 WVC458765 XEY458765 IQ524301 SM524301 ACI524301 AME524301 AWA524301 BFW524301 BPS524301 BZO524301 CJK524301 CTG524301 DDC524301 DMY524301 DWU524301 EGQ524301 EQM524301 FAI524301 FKE524301 FUA524301 GDW524301 GNS524301 GXO524301 HHK524301 HRG524301 IBC524301 IKY524301 IUU524301 JEQ524301 JOM524301 JYI524301 KIE524301 KSA524301 LBW524301 LLS524301 LVO524301 MFK524301 MPG524301 MZC524301 NIY524301 NSU524301 OCQ524301 OMM524301 OWI524301 PGE524301 PQA524301 PZW524301 QJS524301 QTO524301 RDK524301 RNG524301 RXC524301 SGY524301 SQU524301 TAQ524301 TKM524301 TUI524301 UEE524301 UOA524301 UXW524301 VHS524301 VRO524301 WBK524301 WLG524301 WVC524301 XEY524301 IQ589837 SM589837 ACI589837 AME589837 AWA589837 BFW589837 BPS589837 BZO589837 CJK589837 CTG589837 DDC589837 DMY589837 DWU589837 EGQ589837 EQM589837 FAI589837 FKE589837 FUA589837 GDW589837 GNS589837 GXO589837 HHK589837 HRG589837 IBC589837 IKY589837 IUU589837 JEQ589837 JOM589837 JYI589837 KIE589837 KSA589837 LBW589837 LLS589837 LVO589837 MFK589837 MPG589837 MZC589837 NIY589837 NSU589837 OCQ589837 OMM589837 OWI589837 PGE589837 PQA589837 PZW589837 QJS589837 QTO589837 RDK589837 RNG589837 RXC589837 SGY589837 SQU589837 TAQ589837 TKM589837 TUI589837 UEE589837 UOA589837 UXW589837 VHS589837 VRO589837 WBK589837 WLG589837 WVC589837 XEY589837 IQ655373 SM655373 ACI655373 AME655373 AWA655373 BFW655373 BPS655373 BZO655373 CJK655373 CTG655373 DDC655373 DMY655373 DWU655373 EGQ655373 EQM655373 FAI655373 FKE655373 FUA655373 GDW655373 GNS655373 GXO655373 HHK655373 HRG655373 IBC655373 IKY655373 IUU655373 JEQ655373 JOM655373 JYI655373 KIE655373 KSA655373 LBW655373 LLS655373 LVO655373 MFK655373 MPG655373 MZC655373 NIY655373 NSU655373 OCQ655373 OMM655373 OWI655373 PGE655373 PQA655373 PZW655373 QJS655373 QTO655373 RDK655373 RNG655373 RXC655373 SGY655373 SQU655373 TAQ655373 TKM655373 TUI655373 UEE655373 UOA655373 UXW655373 VHS655373 VRO655373 WBK655373 WLG655373 WVC655373 XEY655373 IQ720909 SM720909 ACI720909 AME720909 AWA720909 BFW720909 BPS720909 BZO720909 CJK720909 CTG720909 DDC720909 DMY720909 DWU720909 EGQ720909 EQM720909 FAI720909 FKE720909 FUA720909 GDW720909 GNS720909 GXO720909 HHK720909 HRG720909 IBC720909 IKY720909 IUU720909 JEQ720909 JOM720909 JYI720909 KIE720909 KSA720909 LBW720909 LLS720909 LVO720909 MFK720909 MPG720909 MZC720909 NIY720909 NSU720909 OCQ720909 OMM720909 OWI720909 PGE720909 PQA720909 PZW720909 QJS720909 QTO720909 RDK720909 RNG720909 RXC720909 SGY720909 SQU720909 TAQ720909 TKM720909 TUI720909 UEE720909 UOA720909 UXW720909 VHS720909 VRO720909 WBK720909 WLG720909 WVC720909 XEY720909 IQ786445 SM786445 ACI786445 AME786445 AWA786445 BFW786445 BPS786445 BZO786445 CJK786445 CTG786445 DDC786445 DMY786445 DWU786445 EGQ786445 EQM786445 FAI786445 FKE786445 FUA786445 GDW786445 GNS786445 GXO786445 HHK786445 HRG786445 IBC786445 IKY786445 IUU786445 JEQ786445 JOM786445 JYI786445 KIE786445 KSA786445 LBW786445 LLS786445 LVO786445 MFK786445 MPG786445 MZC786445 NIY786445 NSU786445 OCQ786445 OMM786445 OWI786445 PGE786445 PQA786445 PZW786445 QJS786445 QTO786445 RDK786445 RNG786445 RXC786445 SGY786445 SQU786445 TAQ786445 TKM786445 TUI786445 UEE786445 UOA786445 UXW786445 VHS786445 VRO786445 WBK786445 WLG786445 WVC786445 XEY786445 IQ851981 SM851981 ACI851981 AME851981 AWA851981 BFW851981 BPS851981 BZO851981 CJK851981 CTG851981 DDC851981 DMY851981 DWU851981 EGQ851981 EQM851981 FAI851981 FKE851981 FUA851981 GDW851981 GNS851981 GXO851981 HHK851981 HRG851981 IBC851981 IKY851981 IUU851981 JEQ851981 JOM851981 JYI851981 KIE851981 KSA851981 LBW851981 LLS851981 LVO851981 MFK851981 MPG851981 MZC851981 NIY851981 NSU851981 OCQ851981 OMM851981 OWI851981 PGE851981 PQA851981 PZW851981 QJS851981 QTO851981 RDK851981 RNG851981 RXC851981 SGY851981 SQU851981 TAQ851981 TKM851981 TUI851981 UEE851981 UOA851981 UXW851981 VHS851981 VRO851981 WBK851981 WLG851981 WVC851981 XEY851981 IQ917517 SM917517 ACI917517 AME917517 AWA917517 BFW917517 BPS917517 BZO917517 CJK917517 CTG917517 DDC917517 DMY917517 DWU917517 EGQ917517 EQM917517 FAI917517 FKE917517 FUA917517 GDW917517 GNS917517 GXO917517 HHK917517 HRG917517 IBC917517 IKY917517 IUU917517 JEQ917517 JOM917517 JYI917517 KIE917517 KSA917517 LBW917517 LLS917517 LVO917517 MFK917517 MPG917517 MZC917517 NIY917517 NSU917517 OCQ917517 OMM917517 OWI917517 PGE917517 PQA917517 PZW917517 QJS917517 QTO917517 RDK917517 RNG917517 RXC917517 SGY917517 SQU917517 TAQ917517 TKM917517 TUI917517 UEE917517 UOA917517 UXW917517 VHS917517 VRO917517 WBK917517 WLG917517 WVC917517 XEY917517 IQ983053 SM983053 ACI983053 AME983053 AWA983053 BFW983053 BPS983053 BZO983053 CJK983053 CTG983053 DDC983053 DMY983053 DWU983053 EGQ983053 EQM983053 FAI983053 FKE983053 FUA983053 GDW983053 GNS983053 GXO983053 HHK983053 HRG983053 IBC983053 IKY983053 IUU983053 JEQ983053 JOM983053 JYI983053 KIE983053 KSA983053 LBW983053 LLS983053 LVO983053 MFK983053 MPG983053 MZC983053 NIY983053 NSU983053 OCQ983053 OMM983053 OWI983053 PGE983053 PQA983053 PZW983053 QJS983053 QTO983053 RDK983053 RNG983053 RXC983053 SGY983053 SQU983053 TAQ983053 TKM983053 TUI983053 UEE983053 UOA983053 UXW983053 VHS983053 VRO983053 WBK983053 WLG983053 WVC983053 XEY983053 WVJ983053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xr:uid="{585B4F72-8FE4-4CC8-A4D7-7EC8BF86BCF6}"/>
    <dataValidation allowBlank="1" showInputMessage="1" showErrorMessage="1" promptTitle="Annual Usage of Replacement" prompt="Enter the Annual Usage of this unit as found on the (Yellow) Energy Guide. " sqref="IS14 SO14 ACK14 AMG14 AWC14 BFY14 BPU14 BZQ14 CJM14 CTI14 DDE14 DNA14 DWW14 EGS14 EQO14 FAK14 FKG14 FUC14 GDY14 GNU14 GXQ14 HHM14 HRI14 IBE14 ILA14 IUW14 JES14 JOO14 JYK14 KIG14 KSC14 LBY14 LLU14 LVQ14 MFM14 MPI14 MZE14 NJA14 NSW14 OCS14 OMO14 OWK14 PGG14 PQC14 PZY14 QJU14 QTQ14 RDM14 RNI14 RXE14 SHA14 SQW14 TAS14 TKO14 TUK14 UEG14 UOC14 UXY14 VHU14 VRQ14 WBM14 WLI14 WVE14 XFA14 IS65551 SO65551 ACK65551 AMG65551 AWC65551 BFY65551 BPU65551 BZQ65551 CJM65551 CTI65551 DDE65551 DNA65551 DWW65551 EGS65551 EQO65551 FAK65551 FKG65551 FUC65551 GDY65551 GNU65551 GXQ65551 HHM65551 HRI65551 IBE65551 ILA65551 IUW65551 JES65551 JOO65551 JYK65551 KIG65551 KSC65551 LBY65551 LLU65551 LVQ65551 MFM65551 MPI65551 MZE65551 NJA65551 NSW65551 OCS65551 OMO65551 OWK65551 PGG65551 PQC65551 PZY65551 QJU65551 QTQ65551 RDM65551 RNI65551 RXE65551 SHA65551 SQW65551 TAS65551 TKO65551 TUK65551 UEG65551 UOC65551 UXY65551 VHU65551 VRQ65551 WBM65551 WLI65551 WVE65551 XFA65551 IS131087 SO131087 ACK131087 AMG131087 AWC131087 BFY131087 BPU131087 BZQ131087 CJM131087 CTI131087 DDE131087 DNA131087 DWW131087 EGS131087 EQO131087 FAK131087 FKG131087 FUC131087 GDY131087 GNU131087 GXQ131087 HHM131087 HRI131087 IBE131087 ILA131087 IUW131087 JES131087 JOO131087 JYK131087 KIG131087 KSC131087 LBY131087 LLU131087 LVQ131087 MFM131087 MPI131087 MZE131087 NJA131087 NSW131087 OCS131087 OMO131087 OWK131087 PGG131087 PQC131087 PZY131087 QJU131087 QTQ131087 RDM131087 RNI131087 RXE131087 SHA131087 SQW131087 TAS131087 TKO131087 TUK131087 UEG131087 UOC131087 UXY131087 VHU131087 VRQ131087 WBM131087 WLI131087 WVE131087 XFA131087 IS196623 SO196623 ACK196623 AMG196623 AWC196623 BFY196623 BPU196623 BZQ196623 CJM196623 CTI196623 DDE196623 DNA196623 DWW196623 EGS196623 EQO196623 FAK196623 FKG196623 FUC196623 GDY196623 GNU196623 GXQ196623 HHM196623 HRI196623 IBE196623 ILA196623 IUW196623 JES196623 JOO196623 JYK196623 KIG196623 KSC196623 LBY196623 LLU196623 LVQ196623 MFM196623 MPI196623 MZE196623 NJA196623 NSW196623 OCS196623 OMO196623 OWK196623 PGG196623 PQC196623 PZY196623 QJU196623 QTQ196623 RDM196623 RNI196623 RXE196623 SHA196623 SQW196623 TAS196623 TKO196623 TUK196623 UEG196623 UOC196623 UXY196623 VHU196623 VRQ196623 WBM196623 WLI196623 WVE196623 XFA196623 IS262159 SO262159 ACK262159 AMG262159 AWC262159 BFY262159 BPU262159 BZQ262159 CJM262159 CTI262159 DDE262159 DNA262159 DWW262159 EGS262159 EQO262159 FAK262159 FKG262159 FUC262159 GDY262159 GNU262159 GXQ262159 HHM262159 HRI262159 IBE262159 ILA262159 IUW262159 JES262159 JOO262159 JYK262159 KIG262159 KSC262159 LBY262159 LLU262159 LVQ262159 MFM262159 MPI262159 MZE262159 NJA262159 NSW262159 OCS262159 OMO262159 OWK262159 PGG262159 PQC262159 PZY262159 QJU262159 QTQ262159 RDM262159 RNI262159 RXE262159 SHA262159 SQW262159 TAS262159 TKO262159 TUK262159 UEG262159 UOC262159 UXY262159 VHU262159 VRQ262159 WBM262159 WLI262159 WVE262159 XFA262159 IS327695 SO327695 ACK327695 AMG327695 AWC327695 BFY327695 BPU327695 BZQ327695 CJM327695 CTI327695 DDE327695 DNA327695 DWW327695 EGS327695 EQO327695 FAK327695 FKG327695 FUC327695 GDY327695 GNU327695 GXQ327695 HHM327695 HRI327695 IBE327695 ILA327695 IUW327695 JES327695 JOO327695 JYK327695 KIG327695 KSC327695 LBY327695 LLU327695 LVQ327695 MFM327695 MPI327695 MZE327695 NJA327695 NSW327695 OCS327695 OMO327695 OWK327695 PGG327695 PQC327695 PZY327695 QJU327695 QTQ327695 RDM327695 RNI327695 RXE327695 SHA327695 SQW327695 TAS327695 TKO327695 TUK327695 UEG327695 UOC327695 UXY327695 VHU327695 VRQ327695 WBM327695 WLI327695 WVE327695 XFA327695 IS393231 SO393231 ACK393231 AMG393231 AWC393231 BFY393231 BPU393231 BZQ393231 CJM393231 CTI393231 DDE393231 DNA393231 DWW393231 EGS393231 EQO393231 FAK393231 FKG393231 FUC393231 GDY393231 GNU393231 GXQ393231 HHM393231 HRI393231 IBE393231 ILA393231 IUW393231 JES393231 JOO393231 JYK393231 KIG393231 KSC393231 LBY393231 LLU393231 LVQ393231 MFM393231 MPI393231 MZE393231 NJA393231 NSW393231 OCS393231 OMO393231 OWK393231 PGG393231 PQC393231 PZY393231 QJU393231 QTQ393231 RDM393231 RNI393231 RXE393231 SHA393231 SQW393231 TAS393231 TKO393231 TUK393231 UEG393231 UOC393231 UXY393231 VHU393231 VRQ393231 WBM393231 WLI393231 WVE393231 XFA393231 IS458767 SO458767 ACK458767 AMG458767 AWC458767 BFY458767 BPU458767 BZQ458767 CJM458767 CTI458767 DDE458767 DNA458767 DWW458767 EGS458767 EQO458767 FAK458767 FKG458767 FUC458767 GDY458767 GNU458767 GXQ458767 HHM458767 HRI458767 IBE458767 ILA458767 IUW458767 JES458767 JOO458767 JYK458767 KIG458767 KSC458767 LBY458767 LLU458767 LVQ458767 MFM458767 MPI458767 MZE458767 NJA458767 NSW458767 OCS458767 OMO458767 OWK458767 PGG458767 PQC458767 PZY458767 QJU458767 QTQ458767 RDM458767 RNI458767 RXE458767 SHA458767 SQW458767 TAS458767 TKO458767 TUK458767 UEG458767 UOC458767 UXY458767 VHU458767 VRQ458767 WBM458767 WLI458767 WVE458767 XFA458767 IS524303 SO524303 ACK524303 AMG524303 AWC524303 BFY524303 BPU524303 BZQ524303 CJM524303 CTI524303 DDE524303 DNA524303 DWW524303 EGS524303 EQO524303 FAK524303 FKG524303 FUC524303 GDY524303 GNU524303 GXQ524303 HHM524303 HRI524303 IBE524303 ILA524303 IUW524303 JES524303 JOO524303 JYK524303 KIG524303 KSC524303 LBY524303 LLU524303 LVQ524303 MFM524303 MPI524303 MZE524303 NJA524303 NSW524303 OCS524303 OMO524303 OWK524303 PGG524303 PQC524303 PZY524303 QJU524303 QTQ524303 RDM524303 RNI524303 RXE524303 SHA524303 SQW524303 TAS524303 TKO524303 TUK524303 UEG524303 UOC524303 UXY524303 VHU524303 VRQ524303 WBM524303 WLI524303 WVE524303 XFA524303 IS589839 SO589839 ACK589839 AMG589839 AWC589839 BFY589839 BPU589839 BZQ589839 CJM589839 CTI589839 DDE589839 DNA589839 DWW589839 EGS589839 EQO589839 FAK589839 FKG589839 FUC589839 GDY589839 GNU589839 GXQ589839 HHM589839 HRI589839 IBE589839 ILA589839 IUW589839 JES589839 JOO589839 JYK589839 KIG589839 KSC589839 LBY589839 LLU589839 LVQ589839 MFM589839 MPI589839 MZE589839 NJA589839 NSW589839 OCS589839 OMO589839 OWK589839 PGG589839 PQC589839 PZY589839 QJU589839 QTQ589839 RDM589839 RNI589839 RXE589839 SHA589839 SQW589839 TAS589839 TKO589839 TUK589839 UEG589839 UOC589839 UXY589839 VHU589839 VRQ589839 WBM589839 WLI589839 WVE589839 XFA589839 IS655375 SO655375 ACK655375 AMG655375 AWC655375 BFY655375 BPU655375 BZQ655375 CJM655375 CTI655375 DDE655375 DNA655375 DWW655375 EGS655375 EQO655375 FAK655375 FKG655375 FUC655375 GDY655375 GNU655375 GXQ655375 HHM655375 HRI655375 IBE655375 ILA655375 IUW655375 JES655375 JOO655375 JYK655375 KIG655375 KSC655375 LBY655375 LLU655375 LVQ655375 MFM655375 MPI655375 MZE655375 NJA655375 NSW655375 OCS655375 OMO655375 OWK655375 PGG655375 PQC655375 PZY655375 QJU655375 QTQ655375 RDM655375 RNI655375 RXE655375 SHA655375 SQW655375 TAS655375 TKO655375 TUK655375 UEG655375 UOC655375 UXY655375 VHU655375 VRQ655375 WBM655375 WLI655375 WVE655375 XFA655375 IS720911 SO720911 ACK720911 AMG720911 AWC720911 BFY720911 BPU720911 BZQ720911 CJM720911 CTI720911 DDE720911 DNA720911 DWW720911 EGS720911 EQO720911 FAK720911 FKG720911 FUC720911 GDY720911 GNU720911 GXQ720911 HHM720911 HRI720911 IBE720911 ILA720911 IUW720911 JES720911 JOO720911 JYK720911 KIG720911 KSC720911 LBY720911 LLU720911 LVQ720911 MFM720911 MPI720911 MZE720911 NJA720911 NSW720911 OCS720911 OMO720911 OWK720911 PGG720911 PQC720911 PZY720911 QJU720911 QTQ720911 RDM720911 RNI720911 RXE720911 SHA720911 SQW720911 TAS720911 TKO720911 TUK720911 UEG720911 UOC720911 UXY720911 VHU720911 VRQ720911 WBM720911 WLI720911 WVE720911 XFA720911 IS786447 SO786447 ACK786447 AMG786447 AWC786447 BFY786447 BPU786447 BZQ786447 CJM786447 CTI786447 DDE786447 DNA786447 DWW786447 EGS786447 EQO786447 FAK786447 FKG786447 FUC786447 GDY786447 GNU786447 GXQ786447 HHM786447 HRI786447 IBE786447 ILA786447 IUW786447 JES786447 JOO786447 JYK786447 KIG786447 KSC786447 LBY786447 LLU786447 LVQ786447 MFM786447 MPI786447 MZE786447 NJA786447 NSW786447 OCS786447 OMO786447 OWK786447 PGG786447 PQC786447 PZY786447 QJU786447 QTQ786447 RDM786447 RNI786447 RXE786447 SHA786447 SQW786447 TAS786447 TKO786447 TUK786447 UEG786447 UOC786447 UXY786447 VHU786447 VRQ786447 WBM786447 WLI786447 WVE786447 XFA786447 IS851983 SO851983 ACK851983 AMG851983 AWC851983 BFY851983 BPU851983 BZQ851983 CJM851983 CTI851983 DDE851983 DNA851983 DWW851983 EGS851983 EQO851983 FAK851983 FKG851983 FUC851983 GDY851983 GNU851983 GXQ851983 HHM851983 HRI851983 IBE851983 ILA851983 IUW851983 JES851983 JOO851983 JYK851983 KIG851983 KSC851983 LBY851983 LLU851983 LVQ851983 MFM851983 MPI851983 MZE851983 NJA851983 NSW851983 OCS851983 OMO851983 OWK851983 PGG851983 PQC851983 PZY851983 QJU851983 QTQ851983 RDM851983 RNI851983 RXE851983 SHA851983 SQW851983 TAS851983 TKO851983 TUK851983 UEG851983 UOC851983 UXY851983 VHU851983 VRQ851983 WBM851983 WLI851983 WVE851983 XFA851983 IS917519 SO917519 ACK917519 AMG917519 AWC917519 BFY917519 BPU917519 BZQ917519 CJM917519 CTI917519 DDE917519 DNA917519 DWW917519 EGS917519 EQO917519 FAK917519 FKG917519 FUC917519 GDY917519 GNU917519 GXQ917519 HHM917519 HRI917519 IBE917519 ILA917519 IUW917519 JES917519 JOO917519 JYK917519 KIG917519 KSC917519 LBY917519 LLU917519 LVQ917519 MFM917519 MPI917519 MZE917519 NJA917519 NSW917519 OCS917519 OMO917519 OWK917519 PGG917519 PQC917519 PZY917519 QJU917519 QTQ917519 RDM917519 RNI917519 RXE917519 SHA917519 SQW917519 TAS917519 TKO917519 TUK917519 UEG917519 UOC917519 UXY917519 VHU917519 VRQ917519 WBM917519 WLI917519 WVE917519 XFA917519 IS983055 SO983055 ACK983055 AMG983055 AWC983055 BFY983055 BPU983055 BZQ983055 CJM983055 CTI983055 DDE983055 DNA983055 DWW983055 EGS983055 EQO983055 FAK983055 FKG983055 FUC983055 GDY983055 GNU983055 GXQ983055 HHM983055 HRI983055 IBE983055 ILA983055 IUW983055 JES983055 JOO983055 JYK983055 KIG983055 KSC983055 LBY983055 LLU983055 LVQ983055 MFM983055 MPI983055 MZE983055 NJA983055 NSW983055 OCS983055 OMO983055 OWK983055 PGG983055 PQC983055 PZY983055 QJU983055 QTQ983055 RDM983055 RNI983055 RXE983055 SHA983055 SQW983055 TAS983055 TKO983055 TUK983055 UEG983055 UOC983055 UXY983055 VHU983055 VRQ983055 WBM983055 WLI983055 WVE983055 XFA983055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7A8F4C9C-EC90-4A74-A24D-35820A015232}"/>
    <dataValidation allowBlank="1" showInputMessage="1" showErrorMessage="1" promptTitle="Cost of Replacement" prompt="Replacement cost to include: Window AC unit, labor to install, and recycling of existing unit." sqref="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XFA15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XFA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XFA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XFA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XFA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XFA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XFA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XFA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XFA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XFA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XFA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XFA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XFA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XFA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XFA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XFA983056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DFDE605A-7594-4552-8E71-F19877AD7DAF}"/>
    <dataValidation allowBlank="1" showInputMessage="1" showErrorMessage="1" prompt="Annual Savings for Replacement"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S18 SO18 ACK18 AMG18 AWC18 BFY18 BPU18 BZQ18 CJM18 CTI18 DDE18 DNA18 DWW18 EGS18 EQO18 FAK18 FKG18 FUC18 GDY18 GNU18 GXQ18 HHM18 HRI18 IBE18 ILA18 IUW18 JES18 JOO18 JYK18 KIG18 KSC18 LBY18 LLU18 LVQ18 MFM18 MPI18 MZE18 NJA18 NSW18 OCS18 OMO18 OWK18 PGG18 PQC18 PZY18 QJU18 QTQ18 RDM18 RNI18 RXE18 SHA18 SQW18 TAS18 TKO18 TUK18 UEG18 UOC18 UXY18 VHU18 VRQ18 WBM18 WLI18 WVE18 XFA18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XFA65555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XFA131091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XFA196627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XFA262163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XFA327699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XFA393235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XFA458771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XFA524307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XFA589843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XFA655379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XFA720915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XFA786451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XFA851987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XFA917523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WVE983059 XFA983059" xr:uid="{FE46BD9D-F0A8-499D-92A2-CCA741C3EFB5}"/>
    <dataValidation allowBlank="1" showInputMessage="1" showErrorMessage="1" prompt="Expected Life Savings for Replacement"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XFA19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XFA65556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XFA131092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XFA196628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XFA262164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XFA327700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XFA393236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XFA458772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XFA524308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XFA589844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XFA655380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XFA720916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XFA786452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XFA851988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XFA917524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WVE983060 XFA983060" xr:uid="{3BD0CDE5-CB18-4E86-9858-1684AFBEBAA4}"/>
    <dataValidation allowBlank="1" showInputMessage="1" showErrorMessage="1" promptTitle="Annual Usage of Existing" prompt="This will auto-calculate the annual usage of the existing unit. " sqref="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XEY14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XEY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XEY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XEY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XEY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XEY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XEY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XEY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XEY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XEY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XEY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XEY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XEY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XEY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XEY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XEY983055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30:B31 IX30:IX31 ST30:ST31 ACP30:ACP31 AML30:AML31 AWH30:AWH31 BGD30:BGD31 BPZ30:BPZ31 BZV30:BZV31 CJR30:CJR31 CTN30:CTN31 DDJ30:DDJ31 DNF30:DNF31 DXB30:DXB31 EGX30:EGX31 EQT30:EQT31 FAP30:FAP31 FKL30:FKL31 FUH30:FUH31 GED30:GED31 GNZ30:GNZ31 GXV30:GXV31 HHR30:HHR31 HRN30:HRN31 IBJ30:IBJ31 ILF30:ILF31 IVB30:IVB31 JEX30:JEX31 JOT30:JOT31 JYP30:JYP31 KIL30:KIL31 KSH30:KSH31 LCD30:LCD31 LLZ30:LLZ31 LVV30:LVV31 MFR30:MFR31 MPN30:MPN31 MZJ30:MZJ31 NJF30:NJF31 NTB30:NTB31 OCX30:OCX31 OMT30:OMT31 OWP30:OWP31 PGL30:PGL31 PQH30:PQH31 QAD30:QAD31 QJZ30:QJZ31 QTV30:QTV31 RDR30:RDR31 RNN30:RNN31 RXJ30:RXJ31 SHF30:SHF31 SRB30:SRB31 TAX30:TAX31 TKT30:TKT31 TUP30:TUP31 UEL30:UEL31 UOH30:UOH31 UYD30:UYD31 VHZ30:VHZ31 VRV30:VRV31 WBR30:WBR31 WLN30:WLN31 WVJ30:WVJ31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xr:uid="{49DC21E1-FF52-4393-A7B8-F9B2621DB9AD}"/>
    <dataValidation allowBlank="1" showInputMessage="1" showErrorMessage="1" promptTitle="SIR for Replacement" prompt="The SIR must be ≥ 1 to qualify for replacement."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S20 SO20 ACK20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XFA20 IS65557 SO65557 ACK65557 AMG65557 AWC65557 BFY65557 BPU65557 BZQ65557 CJM65557 CTI65557 DDE65557 DNA65557 DWW65557 EGS65557 EQO65557 FAK65557 FKG65557 FUC65557 GDY65557 GNU65557 GXQ65557 HHM65557 HRI65557 IBE65557 ILA65557 IUW65557 JES65557 JOO65557 JYK65557 KIG65557 KSC65557 LBY65557 LLU65557 LVQ65557 MFM65557 MPI65557 MZE65557 NJA65557 NSW65557 OCS65557 OMO65557 OWK65557 PGG65557 PQC65557 PZY65557 QJU65557 QTQ65557 RDM65557 RNI65557 RXE65557 SHA65557 SQW65557 TAS65557 TKO65557 TUK65557 UEG65557 UOC65557 UXY65557 VHU65557 VRQ65557 WBM65557 WLI65557 WVE65557 XFA65557 IS131093 SO131093 ACK131093 AMG131093 AWC131093 BFY131093 BPU131093 BZQ131093 CJM131093 CTI131093 DDE131093 DNA131093 DWW131093 EGS131093 EQO131093 FAK131093 FKG131093 FUC131093 GDY131093 GNU131093 GXQ131093 HHM131093 HRI131093 IBE131093 ILA131093 IUW131093 JES131093 JOO131093 JYK131093 KIG131093 KSC131093 LBY131093 LLU131093 LVQ131093 MFM131093 MPI131093 MZE131093 NJA131093 NSW131093 OCS131093 OMO131093 OWK131093 PGG131093 PQC131093 PZY131093 QJU131093 QTQ131093 RDM131093 RNI131093 RXE131093 SHA131093 SQW131093 TAS131093 TKO131093 TUK131093 UEG131093 UOC131093 UXY131093 VHU131093 VRQ131093 WBM131093 WLI131093 WVE131093 XFA131093 IS196629 SO196629 ACK196629 AMG196629 AWC196629 BFY196629 BPU196629 BZQ196629 CJM196629 CTI196629 DDE196629 DNA196629 DWW196629 EGS196629 EQO196629 FAK196629 FKG196629 FUC196629 GDY196629 GNU196629 GXQ196629 HHM196629 HRI196629 IBE196629 ILA196629 IUW196629 JES196629 JOO196629 JYK196629 KIG196629 KSC196629 LBY196629 LLU196629 LVQ196629 MFM196629 MPI196629 MZE196629 NJA196629 NSW196629 OCS196629 OMO196629 OWK196629 PGG196629 PQC196629 PZY196629 QJU196629 QTQ196629 RDM196629 RNI196629 RXE196629 SHA196629 SQW196629 TAS196629 TKO196629 TUK196629 UEG196629 UOC196629 UXY196629 VHU196629 VRQ196629 WBM196629 WLI196629 WVE196629 XFA196629 IS262165 SO262165 ACK262165 AMG262165 AWC262165 BFY262165 BPU262165 BZQ262165 CJM262165 CTI262165 DDE262165 DNA262165 DWW262165 EGS262165 EQO262165 FAK262165 FKG262165 FUC262165 GDY262165 GNU262165 GXQ262165 HHM262165 HRI262165 IBE262165 ILA262165 IUW262165 JES262165 JOO262165 JYK262165 KIG262165 KSC262165 LBY262165 LLU262165 LVQ262165 MFM262165 MPI262165 MZE262165 NJA262165 NSW262165 OCS262165 OMO262165 OWK262165 PGG262165 PQC262165 PZY262165 QJU262165 QTQ262165 RDM262165 RNI262165 RXE262165 SHA262165 SQW262165 TAS262165 TKO262165 TUK262165 UEG262165 UOC262165 UXY262165 VHU262165 VRQ262165 WBM262165 WLI262165 WVE262165 XFA262165 IS327701 SO327701 ACK327701 AMG327701 AWC327701 BFY327701 BPU327701 BZQ327701 CJM327701 CTI327701 DDE327701 DNA327701 DWW327701 EGS327701 EQO327701 FAK327701 FKG327701 FUC327701 GDY327701 GNU327701 GXQ327701 HHM327701 HRI327701 IBE327701 ILA327701 IUW327701 JES327701 JOO327701 JYK327701 KIG327701 KSC327701 LBY327701 LLU327701 LVQ327701 MFM327701 MPI327701 MZE327701 NJA327701 NSW327701 OCS327701 OMO327701 OWK327701 PGG327701 PQC327701 PZY327701 QJU327701 QTQ327701 RDM327701 RNI327701 RXE327701 SHA327701 SQW327701 TAS327701 TKO327701 TUK327701 UEG327701 UOC327701 UXY327701 VHU327701 VRQ327701 WBM327701 WLI327701 WVE327701 XFA327701 IS393237 SO393237 ACK393237 AMG393237 AWC393237 BFY393237 BPU393237 BZQ393237 CJM393237 CTI393237 DDE393237 DNA393237 DWW393237 EGS393237 EQO393237 FAK393237 FKG393237 FUC393237 GDY393237 GNU393237 GXQ393237 HHM393237 HRI393237 IBE393237 ILA393237 IUW393237 JES393237 JOO393237 JYK393237 KIG393237 KSC393237 LBY393237 LLU393237 LVQ393237 MFM393237 MPI393237 MZE393237 NJA393237 NSW393237 OCS393237 OMO393237 OWK393237 PGG393237 PQC393237 PZY393237 QJU393237 QTQ393237 RDM393237 RNI393237 RXE393237 SHA393237 SQW393237 TAS393237 TKO393237 TUK393237 UEG393237 UOC393237 UXY393237 VHU393237 VRQ393237 WBM393237 WLI393237 WVE393237 XFA393237 IS458773 SO458773 ACK458773 AMG458773 AWC458773 BFY458773 BPU458773 BZQ458773 CJM458773 CTI458773 DDE458773 DNA458773 DWW458773 EGS458773 EQO458773 FAK458773 FKG458773 FUC458773 GDY458773 GNU458773 GXQ458773 HHM458773 HRI458773 IBE458773 ILA458773 IUW458773 JES458773 JOO458773 JYK458773 KIG458773 KSC458773 LBY458773 LLU458773 LVQ458773 MFM458773 MPI458773 MZE458773 NJA458773 NSW458773 OCS458773 OMO458773 OWK458773 PGG458773 PQC458773 PZY458773 QJU458773 QTQ458773 RDM458773 RNI458773 RXE458773 SHA458773 SQW458773 TAS458773 TKO458773 TUK458773 UEG458773 UOC458773 UXY458773 VHU458773 VRQ458773 WBM458773 WLI458773 WVE458773 XFA458773 IS524309 SO524309 ACK524309 AMG524309 AWC524309 BFY524309 BPU524309 BZQ524309 CJM524309 CTI524309 DDE524309 DNA524309 DWW524309 EGS524309 EQO524309 FAK524309 FKG524309 FUC524309 GDY524309 GNU524309 GXQ524309 HHM524309 HRI524309 IBE524309 ILA524309 IUW524309 JES524309 JOO524309 JYK524309 KIG524309 KSC524309 LBY524309 LLU524309 LVQ524309 MFM524309 MPI524309 MZE524309 NJA524309 NSW524309 OCS524309 OMO524309 OWK524309 PGG524309 PQC524309 PZY524309 QJU524309 QTQ524309 RDM524309 RNI524309 RXE524309 SHA524309 SQW524309 TAS524309 TKO524309 TUK524309 UEG524309 UOC524309 UXY524309 VHU524309 VRQ524309 WBM524309 WLI524309 WVE524309 XFA524309 IS589845 SO589845 ACK589845 AMG589845 AWC589845 BFY589845 BPU589845 BZQ589845 CJM589845 CTI589845 DDE589845 DNA589845 DWW589845 EGS589845 EQO589845 FAK589845 FKG589845 FUC589845 GDY589845 GNU589845 GXQ589845 HHM589845 HRI589845 IBE589845 ILA589845 IUW589845 JES589845 JOO589845 JYK589845 KIG589845 KSC589845 LBY589845 LLU589845 LVQ589845 MFM589845 MPI589845 MZE589845 NJA589845 NSW589845 OCS589845 OMO589845 OWK589845 PGG589845 PQC589845 PZY589845 QJU589845 QTQ589845 RDM589845 RNI589845 RXE589845 SHA589845 SQW589845 TAS589845 TKO589845 TUK589845 UEG589845 UOC589845 UXY589845 VHU589845 VRQ589845 WBM589845 WLI589845 WVE589845 XFA589845 IS655381 SO655381 ACK655381 AMG655381 AWC655381 BFY655381 BPU655381 BZQ655381 CJM655381 CTI655381 DDE655381 DNA655381 DWW655381 EGS655381 EQO655381 FAK655381 FKG655381 FUC655381 GDY655381 GNU655381 GXQ655381 HHM655381 HRI655381 IBE655381 ILA655381 IUW655381 JES655381 JOO655381 JYK655381 KIG655381 KSC655381 LBY655381 LLU655381 LVQ655381 MFM655381 MPI655381 MZE655381 NJA655381 NSW655381 OCS655381 OMO655381 OWK655381 PGG655381 PQC655381 PZY655381 QJU655381 QTQ655381 RDM655381 RNI655381 RXE655381 SHA655381 SQW655381 TAS655381 TKO655381 TUK655381 UEG655381 UOC655381 UXY655381 VHU655381 VRQ655381 WBM655381 WLI655381 WVE655381 XFA655381 IS720917 SO720917 ACK720917 AMG720917 AWC720917 BFY720917 BPU720917 BZQ720917 CJM720917 CTI720917 DDE720917 DNA720917 DWW720917 EGS720917 EQO720917 FAK720917 FKG720917 FUC720917 GDY720917 GNU720917 GXQ720917 HHM720917 HRI720917 IBE720917 ILA720917 IUW720917 JES720917 JOO720917 JYK720917 KIG720917 KSC720917 LBY720917 LLU720917 LVQ720917 MFM720917 MPI720917 MZE720917 NJA720917 NSW720917 OCS720917 OMO720917 OWK720917 PGG720917 PQC720917 PZY720917 QJU720917 QTQ720917 RDM720917 RNI720917 RXE720917 SHA720917 SQW720917 TAS720917 TKO720917 TUK720917 UEG720917 UOC720917 UXY720917 VHU720917 VRQ720917 WBM720917 WLI720917 WVE720917 XFA720917 IS786453 SO786453 ACK786453 AMG786453 AWC786453 BFY786453 BPU786453 BZQ786453 CJM786453 CTI786453 DDE786453 DNA786453 DWW786453 EGS786453 EQO786453 FAK786453 FKG786453 FUC786453 GDY786453 GNU786453 GXQ786453 HHM786453 HRI786453 IBE786453 ILA786453 IUW786453 JES786453 JOO786453 JYK786453 KIG786453 KSC786453 LBY786453 LLU786453 LVQ786453 MFM786453 MPI786453 MZE786453 NJA786453 NSW786453 OCS786453 OMO786453 OWK786453 PGG786453 PQC786453 PZY786453 QJU786453 QTQ786453 RDM786453 RNI786453 RXE786453 SHA786453 SQW786453 TAS786453 TKO786453 TUK786453 UEG786453 UOC786453 UXY786453 VHU786453 VRQ786453 WBM786453 WLI786453 WVE786453 XFA786453 IS851989 SO851989 ACK851989 AMG851989 AWC851989 BFY851989 BPU851989 BZQ851989 CJM851989 CTI851989 DDE851989 DNA851989 DWW851989 EGS851989 EQO851989 FAK851989 FKG851989 FUC851989 GDY851989 GNU851989 GXQ851989 HHM851989 HRI851989 IBE851989 ILA851989 IUW851989 JES851989 JOO851989 JYK851989 KIG851989 KSC851989 LBY851989 LLU851989 LVQ851989 MFM851989 MPI851989 MZE851989 NJA851989 NSW851989 OCS851989 OMO851989 OWK851989 PGG851989 PQC851989 PZY851989 QJU851989 QTQ851989 RDM851989 RNI851989 RXE851989 SHA851989 SQW851989 TAS851989 TKO851989 TUK851989 UEG851989 UOC851989 UXY851989 VHU851989 VRQ851989 WBM851989 WLI851989 WVE851989 XFA851989 IS917525 SO917525 ACK917525 AMG917525 AWC917525 BFY917525 BPU917525 BZQ917525 CJM917525 CTI917525 DDE917525 DNA917525 DWW917525 EGS917525 EQO917525 FAK917525 FKG917525 FUC917525 GDY917525 GNU917525 GXQ917525 HHM917525 HRI917525 IBE917525 ILA917525 IUW917525 JES917525 JOO917525 JYK917525 KIG917525 KSC917525 LBY917525 LLU917525 LVQ917525 MFM917525 MPI917525 MZE917525 NJA917525 NSW917525 OCS917525 OMO917525 OWK917525 PGG917525 PQC917525 PZY917525 QJU917525 QTQ917525 RDM917525 RNI917525 RXE917525 SHA917525 SQW917525 TAS917525 TKO917525 TUK917525 UEG917525 UOC917525 UXY917525 VHU917525 VRQ917525 WBM917525 WLI917525 WVE917525 XFA917525 IS983061 SO983061 ACK983061 AMG983061 AWC983061 BFY983061 BPU983061 BZQ983061 CJM983061 CTI983061 DDE983061 DNA983061 DWW983061 EGS983061 EQO983061 FAK983061 FKG983061 FUC983061 GDY983061 GNU983061 GXQ983061 HHM983061 HRI983061 IBE983061 ILA983061 IUW983061 JES983061 JOO983061 JYK983061 KIG983061 KSC983061 LBY983061 LLU983061 LVQ983061 MFM983061 MPI983061 MZE983061 NJA983061 NSW983061 OCS983061 OMO983061 OWK983061 PGG983061 PQC983061 PZY983061 QJU983061 QTQ983061 RDM983061 RNI983061 RXE983061 SHA983061 SQW983061 TAS983061 TKO983061 TUK983061 UEG983061 UOC983061 UXY983061 VHU983061 VRQ983061 WBM983061 WLI983061 WVE983061 XFA983061" xr:uid="{73533F61-C4B3-4315-87ED-6E42041F2B5F}"/>
    <dataValidation allowBlank="1" showInputMessage="1" showErrorMessage="1" promptTitle="Existing EER" prompt="Enter the EER as found on the plate of the existing unit.  If the EER cannot be found skip this entry and meter the unit._x000a_" sqref="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B1048573 IX1048573 ST1048573 ACP1048573 AML1048573 AWH1048573 BGD1048573 BPZ1048573 BZV1048573 CJR1048573 CTN1048573 DDJ1048573 DNF1048573 DXB1048573 EGX1048573 EQT1048573 FAP1048573 FKL1048573 FUH1048573 GED1048573 GNZ1048573 GXV1048573 HHR1048573 HRN1048573 IBJ1048573 ILF1048573 IVB1048573 JEX1048573 JOT1048573 JYP1048573 KIL1048573 KSH1048573 LCD1048573 LLZ1048573 LVV1048573 MFR1048573 MPN1048573 MZJ1048573 NJF1048573 NTB1048573 OCX1048573 OMT1048573 OWP1048573 PGL1048573 PQH1048573 QAD1048573 QJZ1048573 QTV1048573 RDR1048573 RNN1048573 RXJ1048573 SHF1048573 SRB1048573 TAX1048573 TKT1048573 TUP1048573 UEL1048573 UOH1048573 UYD1048573 VHZ1048573 VRV1048573 WBR1048573 WLN1048573 WVJ1048573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XEY65533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XEY131069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XEY196605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XEY262141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XEY327677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XEY393213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XEY458749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XEY524285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XEY589821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XEY655357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XEY720893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XEY786429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XEY851965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XEY917501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XEY983037 IQ1048573 SM1048573 ACI1048573 AME1048573 AWA1048573 BFW1048573 BPS1048573 BZO1048573 CJK1048573 CTG1048573 DDC1048573 DMY1048573 DWU1048573 EGQ1048573 EQM1048573 FAI1048573 FKE1048573 FUA1048573 GDW1048573 GNS1048573 GXO1048573 HHK1048573 HRG1048573 IBC1048573 IKY1048573 IUU1048573 JEQ1048573 JOM1048573 JYI1048573 KIE1048573 KSA1048573 LBW1048573 LLS1048573 LVO1048573 MFK1048573 MPG1048573 MZC1048573 NIY1048573 NSU1048573 OCQ1048573 OMM1048573 OWI1048573 PGE1048573 PQA1048573 PZW1048573 QJS1048573 QTO1048573 RDK1048573 RNG1048573 RXC1048573 SGY1048573 SQU1048573 TAQ1048573 TKM1048573 TUI1048573 UEE1048573 UOA1048573 UXW1048573 VHS1048573 VRO1048573 WBK1048573 WLG1048573 WVC1048573 XEY104857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8C581BCE-18DF-4ED2-AD1D-C6D8359D2F07}"/>
    <dataValidation allowBlank="1" showInputMessage="1" showErrorMessage="1" promptTitle="Existing BTUs" prompt="Enter the BTUs if it can be found on the unit.  If it cannot be found the assessor must estimate and take a photo of the unit.  Window units range from 5,000 to 24,000." sqref="B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B1048575 IX1048575 ST1048575 ACP1048575 AML1048575 AWH1048575 BGD1048575 BPZ1048575 BZV1048575 CJR1048575 CTN1048575 DDJ1048575 DNF1048575 DXB1048575 EGX1048575 EQT1048575 FAP1048575 FKL1048575 FUH1048575 GED1048575 GNZ1048575 GXV1048575 HHR1048575 HRN1048575 IBJ1048575 ILF1048575 IVB1048575 JEX1048575 JOT1048575 JYP1048575 KIL1048575 KSH1048575 LCD1048575 LLZ1048575 LVV1048575 MFR1048575 MPN1048575 MZJ1048575 NJF1048575 NTB1048575 OCX1048575 OMT1048575 OWP1048575 PGL1048575 PQH1048575 QAD1048575 QJZ1048575 QTV1048575 RDR1048575 RNN1048575 RXJ1048575 SHF1048575 SRB1048575 TAX1048575 TKT1048575 TUP1048575 UEL1048575 UOH1048575 UYD1048575 VHZ1048575 VRV1048575 WBR1048575 WLN1048575 WVJ1048575 IQ65535 SM65535 ACI65535 AME65535 AWA65535 BFW65535 BPS65535 BZO65535 CJK65535 CTG65535 DDC65535 DMY65535 DWU65535 EGQ65535 EQM65535 FAI65535 FKE65535 FUA65535 GDW65535 GNS65535 GXO65535 HHK65535 HRG65535 IBC65535 IKY65535 IUU65535 JEQ65535 JOM65535 JYI65535 KIE65535 KSA65535 LBW65535 LLS65535 LVO65535 MFK65535 MPG65535 MZC65535 NIY65535 NSU65535 OCQ65535 OMM65535 OWI65535 PGE65535 PQA65535 PZW65535 QJS65535 QTO65535 RDK65535 RNG65535 RXC65535 SGY65535 SQU65535 TAQ65535 TKM65535 TUI65535 UEE65535 UOA65535 UXW65535 VHS65535 VRO65535 WBK65535 WLG65535 WVC65535 XEY65535 IQ131071 SM131071 ACI131071 AME131071 AWA131071 BFW131071 BPS131071 BZO131071 CJK131071 CTG131071 DDC131071 DMY131071 DWU131071 EGQ131071 EQM131071 FAI131071 FKE131071 FUA131071 GDW131071 GNS131071 GXO131071 HHK131071 HRG131071 IBC131071 IKY131071 IUU131071 JEQ131071 JOM131071 JYI131071 KIE131071 KSA131071 LBW131071 LLS131071 LVO131071 MFK131071 MPG131071 MZC131071 NIY131071 NSU131071 OCQ131071 OMM131071 OWI131071 PGE131071 PQA131071 PZW131071 QJS131071 QTO131071 RDK131071 RNG131071 RXC131071 SGY131071 SQU131071 TAQ131071 TKM131071 TUI131071 UEE131071 UOA131071 UXW131071 VHS131071 VRO131071 WBK131071 WLG131071 WVC131071 XEY131071 IQ196607 SM196607 ACI196607 AME196607 AWA196607 BFW196607 BPS196607 BZO196607 CJK196607 CTG196607 DDC196607 DMY196607 DWU196607 EGQ196607 EQM196607 FAI196607 FKE196607 FUA196607 GDW196607 GNS196607 GXO196607 HHK196607 HRG196607 IBC196607 IKY196607 IUU196607 JEQ196607 JOM196607 JYI196607 KIE196607 KSA196607 LBW196607 LLS196607 LVO196607 MFK196607 MPG196607 MZC196607 NIY196607 NSU196607 OCQ196607 OMM196607 OWI196607 PGE196607 PQA196607 PZW196607 QJS196607 QTO196607 RDK196607 RNG196607 RXC196607 SGY196607 SQU196607 TAQ196607 TKM196607 TUI196607 UEE196607 UOA196607 UXW196607 VHS196607 VRO196607 WBK196607 WLG196607 WVC196607 XEY196607 IQ262143 SM262143 ACI262143 AME262143 AWA262143 BFW262143 BPS262143 BZO262143 CJK262143 CTG262143 DDC262143 DMY262143 DWU262143 EGQ262143 EQM262143 FAI262143 FKE262143 FUA262143 GDW262143 GNS262143 GXO262143 HHK262143 HRG262143 IBC262143 IKY262143 IUU262143 JEQ262143 JOM262143 JYI262143 KIE262143 KSA262143 LBW262143 LLS262143 LVO262143 MFK262143 MPG262143 MZC262143 NIY262143 NSU262143 OCQ262143 OMM262143 OWI262143 PGE262143 PQA262143 PZW262143 QJS262143 QTO262143 RDK262143 RNG262143 RXC262143 SGY262143 SQU262143 TAQ262143 TKM262143 TUI262143 UEE262143 UOA262143 UXW262143 VHS262143 VRO262143 WBK262143 WLG262143 WVC262143 XEY262143 IQ327679 SM327679 ACI327679 AME327679 AWA327679 BFW327679 BPS327679 BZO327679 CJK327679 CTG327679 DDC327679 DMY327679 DWU327679 EGQ327679 EQM327679 FAI327679 FKE327679 FUA327679 GDW327679 GNS327679 GXO327679 HHK327679 HRG327679 IBC327679 IKY327679 IUU327679 JEQ327679 JOM327679 JYI327679 KIE327679 KSA327679 LBW327679 LLS327679 LVO327679 MFK327679 MPG327679 MZC327679 NIY327679 NSU327679 OCQ327679 OMM327679 OWI327679 PGE327679 PQA327679 PZW327679 QJS327679 QTO327679 RDK327679 RNG327679 RXC327679 SGY327679 SQU327679 TAQ327679 TKM327679 TUI327679 UEE327679 UOA327679 UXW327679 VHS327679 VRO327679 WBK327679 WLG327679 WVC327679 XEY327679 IQ393215 SM393215 ACI393215 AME393215 AWA393215 BFW393215 BPS393215 BZO393215 CJK393215 CTG393215 DDC393215 DMY393215 DWU393215 EGQ393215 EQM393215 FAI393215 FKE393215 FUA393215 GDW393215 GNS393215 GXO393215 HHK393215 HRG393215 IBC393215 IKY393215 IUU393215 JEQ393215 JOM393215 JYI393215 KIE393215 KSA393215 LBW393215 LLS393215 LVO393215 MFK393215 MPG393215 MZC393215 NIY393215 NSU393215 OCQ393215 OMM393215 OWI393215 PGE393215 PQA393215 PZW393215 QJS393215 QTO393215 RDK393215 RNG393215 RXC393215 SGY393215 SQU393215 TAQ393215 TKM393215 TUI393215 UEE393215 UOA393215 UXW393215 VHS393215 VRO393215 WBK393215 WLG393215 WVC393215 XEY393215 IQ458751 SM458751 ACI458751 AME458751 AWA458751 BFW458751 BPS458751 BZO458751 CJK458751 CTG458751 DDC458751 DMY458751 DWU458751 EGQ458751 EQM458751 FAI458751 FKE458751 FUA458751 GDW458751 GNS458751 GXO458751 HHK458751 HRG458751 IBC458751 IKY458751 IUU458751 JEQ458751 JOM458751 JYI458751 KIE458751 KSA458751 LBW458751 LLS458751 LVO458751 MFK458751 MPG458751 MZC458751 NIY458751 NSU458751 OCQ458751 OMM458751 OWI458751 PGE458751 PQA458751 PZW458751 QJS458751 QTO458751 RDK458751 RNG458751 RXC458751 SGY458751 SQU458751 TAQ458751 TKM458751 TUI458751 UEE458751 UOA458751 UXW458751 VHS458751 VRO458751 WBK458751 WLG458751 WVC458751 XEY458751 IQ524287 SM524287 ACI524287 AME524287 AWA524287 BFW524287 BPS524287 BZO524287 CJK524287 CTG524287 DDC524287 DMY524287 DWU524287 EGQ524287 EQM524287 FAI524287 FKE524287 FUA524287 GDW524287 GNS524287 GXO524287 HHK524287 HRG524287 IBC524287 IKY524287 IUU524287 JEQ524287 JOM524287 JYI524287 KIE524287 KSA524287 LBW524287 LLS524287 LVO524287 MFK524287 MPG524287 MZC524287 NIY524287 NSU524287 OCQ524287 OMM524287 OWI524287 PGE524287 PQA524287 PZW524287 QJS524287 QTO524287 RDK524287 RNG524287 RXC524287 SGY524287 SQU524287 TAQ524287 TKM524287 TUI524287 UEE524287 UOA524287 UXW524287 VHS524287 VRO524287 WBK524287 WLG524287 WVC524287 XEY524287 IQ589823 SM589823 ACI589823 AME589823 AWA589823 BFW589823 BPS589823 BZO589823 CJK589823 CTG589823 DDC589823 DMY589823 DWU589823 EGQ589823 EQM589823 FAI589823 FKE589823 FUA589823 GDW589823 GNS589823 GXO589823 HHK589823 HRG589823 IBC589823 IKY589823 IUU589823 JEQ589823 JOM589823 JYI589823 KIE589823 KSA589823 LBW589823 LLS589823 LVO589823 MFK589823 MPG589823 MZC589823 NIY589823 NSU589823 OCQ589823 OMM589823 OWI589823 PGE589823 PQA589823 PZW589823 QJS589823 QTO589823 RDK589823 RNG589823 RXC589823 SGY589823 SQU589823 TAQ589823 TKM589823 TUI589823 UEE589823 UOA589823 UXW589823 VHS589823 VRO589823 WBK589823 WLG589823 WVC589823 XEY589823 IQ655359 SM655359 ACI655359 AME655359 AWA655359 BFW655359 BPS655359 BZO655359 CJK655359 CTG655359 DDC655359 DMY655359 DWU655359 EGQ655359 EQM655359 FAI655359 FKE655359 FUA655359 GDW655359 GNS655359 GXO655359 HHK655359 HRG655359 IBC655359 IKY655359 IUU655359 JEQ655359 JOM655359 JYI655359 KIE655359 KSA655359 LBW655359 LLS655359 LVO655359 MFK655359 MPG655359 MZC655359 NIY655359 NSU655359 OCQ655359 OMM655359 OWI655359 PGE655359 PQA655359 PZW655359 QJS655359 QTO655359 RDK655359 RNG655359 RXC655359 SGY655359 SQU655359 TAQ655359 TKM655359 TUI655359 UEE655359 UOA655359 UXW655359 VHS655359 VRO655359 WBK655359 WLG655359 WVC655359 XEY655359 IQ720895 SM720895 ACI720895 AME720895 AWA720895 BFW720895 BPS720895 BZO720895 CJK720895 CTG720895 DDC720895 DMY720895 DWU720895 EGQ720895 EQM720895 FAI720895 FKE720895 FUA720895 GDW720895 GNS720895 GXO720895 HHK720895 HRG720895 IBC720895 IKY720895 IUU720895 JEQ720895 JOM720895 JYI720895 KIE720895 KSA720895 LBW720895 LLS720895 LVO720895 MFK720895 MPG720895 MZC720895 NIY720895 NSU720895 OCQ720895 OMM720895 OWI720895 PGE720895 PQA720895 PZW720895 QJS720895 QTO720895 RDK720895 RNG720895 RXC720895 SGY720895 SQU720895 TAQ720895 TKM720895 TUI720895 UEE720895 UOA720895 UXW720895 VHS720895 VRO720895 WBK720895 WLG720895 WVC720895 XEY720895 IQ786431 SM786431 ACI786431 AME786431 AWA786431 BFW786431 BPS786431 BZO786431 CJK786431 CTG786431 DDC786431 DMY786431 DWU786431 EGQ786431 EQM786431 FAI786431 FKE786431 FUA786431 GDW786431 GNS786431 GXO786431 HHK786431 HRG786431 IBC786431 IKY786431 IUU786431 JEQ786431 JOM786431 JYI786431 KIE786431 KSA786431 LBW786431 LLS786431 LVO786431 MFK786431 MPG786431 MZC786431 NIY786431 NSU786431 OCQ786431 OMM786431 OWI786431 PGE786431 PQA786431 PZW786431 QJS786431 QTO786431 RDK786431 RNG786431 RXC786431 SGY786431 SQU786431 TAQ786431 TKM786431 TUI786431 UEE786431 UOA786431 UXW786431 VHS786431 VRO786431 WBK786431 WLG786431 WVC786431 XEY786431 IQ851967 SM851967 ACI851967 AME851967 AWA851967 BFW851967 BPS851967 BZO851967 CJK851967 CTG851967 DDC851967 DMY851967 DWU851967 EGQ851967 EQM851967 FAI851967 FKE851967 FUA851967 GDW851967 GNS851967 GXO851967 HHK851967 HRG851967 IBC851967 IKY851967 IUU851967 JEQ851967 JOM851967 JYI851967 KIE851967 KSA851967 LBW851967 LLS851967 LVO851967 MFK851967 MPG851967 MZC851967 NIY851967 NSU851967 OCQ851967 OMM851967 OWI851967 PGE851967 PQA851967 PZW851967 QJS851967 QTO851967 RDK851967 RNG851967 RXC851967 SGY851967 SQU851967 TAQ851967 TKM851967 TUI851967 UEE851967 UOA851967 UXW851967 VHS851967 VRO851967 WBK851967 WLG851967 WVC851967 XEY851967 IQ917503 SM917503 ACI917503 AME917503 AWA917503 BFW917503 BPS917503 BZO917503 CJK917503 CTG917503 DDC917503 DMY917503 DWU917503 EGQ917503 EQM917503 FAI917503 FKE917503 FUA917503 GDW917503 GNS917503 GXO917503 HHK917503 HRG917503 IBC917503 IKY917503 IUU917503 JEQ917503 JOM917503 JYI917503 KIE917503 KSA917503 LBW917503 LLS917503 LVO917503 MFK917503 MPG917503 MZC917503 NIY917503 NSU917503 OCQ917503 OMM917503 OWI917503 PGE917503 PQA917503 PZW917503 QJS917503 QTO917503 RDK917503 RNG917503 RXC917503 SGY917503 SQU917503 TAQ917503 TKM917503 TUI917503 UEE917503 UOA917503 UXW917503 VHS917503 VRO917503 WBK917503 WLG917503 WVC917503 XEY917503 IQ983039 SM983039 ACI983039 AME983039 AWA983039 BFW983039 BPS983039 BZO983039 CJK983039 CTG983039 DDC983039 DMY983039 DWU983039 EGQ983039 EQM983039 FAI983039 FKE983039 FUA983039 GDW983039 GNS983039 GXO983039 HHK983039 HRG983039 IBC983039 IKY983039 IUU983039 JEQ983039 JOM983039 JYI983039 KIE983039 KSA983039 LBW983039 LLS983039 LVO983039 MFK983039 MPG983039 MZC983039 NIY983039 NSU983039 OCQ983039 OMM983039 OWI983039 PGE983039 PQA983039 PZW983039 QJS983039 QTO983039 RDK983039 RNG983039 RXC983039 SGY983039 SQU983039 TAQ983039 TKM983039 TUI983039 UEE983039 UOA983039 UXW983039 VHS983039 VRO983039 WBK983039 WLG983039 WVC983039 XEY983039 IQ1048575 SM1048575 ACI1048575 AME1048575 AWA1048575 BFW1048575 BPS1048575 BZO1048575 CJK1048575 CTG1048575 DDC1048575 DMY1048575 DWU1048575 EGQ1048575 EQM1048575 FAI1048575 FKE1048575 FUA1048575 GDW1048575 GNS1048575 GXO1048575 HHK1048575 HRG1048575 IBC1048575 IKY1048575 IUU1048575 JEQ1048575 JOM1048575 JYI1048575 KIE1048575 KSA1048575 LBW1048575 LLS1048575 LVO1048575 MFK1048575 MPG1048575 MZC1048575 NIY1048575 NSU1048575 OCQ1048575 OMM1048575 OWI1048575 PGE1048575 PQA1048575 PZW1048575 QJS1048575 QTO1048575 RDK1048575 RNG1048575 RXC1048575 SGY1048575 SQU1048575 TAQ1048575 TKM1048575 TUI1048575 UEE1048575 UOA1048575 UXW1048575 VHS1048575 VRO1048575 WBK1048575 WLG1048575 WVC1048575 XEY1048575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xr:uid="{74EEC545-0DD0-47F0-8F3E-B8810428E14D}"/>
    <dataValidation allowBlank="1" showInputMessage="1" showErrorMessage="1" promptTitle="Existing Amps" prompt="Enter the amps found on the plate.  If the amps cannot be found enter the amps reading using a comsuption meter or amp meter." sqref="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XEY65537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XEY131073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XEY196609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XEY262145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XEY327681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XEY393217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XEY458753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XEY524289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XEY589825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XEY655361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XEY720897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XEY786433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XEY851969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XEY917505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XEY98304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xr:uid="{61E607DE-A47E-4C99-B732-437A6859E918}"/>
    <dataValidation allowBlank="1" showInputMessage="1" showErrorMessage="1" prompt="% EER increase using plate"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085AF0D2-552D-4AA9-BADC-37575EF7D7D0}"/>
    <dataValidation allowBlank="1" showInputMessage="1" showErrorMessage="1" promptTitle="Replacement EER" prompt="Enter the EER found on the (Yellow) Energy Guide of the new replacement unit." sqref="XFB1048573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XFB65533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XFB131069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XFB196605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XFB262141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XFB327677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XFB393213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XFB458749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XFB524285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XFB589821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XFB655357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XFB720893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XFB786429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XFB851965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XFB917501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XFB983037 IT1048573 SP1048573 ACL1048573 AMH1048573 AWD1048573 BFZ1048573 BPV1048573 BZR1048573 CJN1048573 CTJ1048573 DDF1048573 DNB1048573 DWX1048573 EGT1048573 EQP1048573 FAL1048573 FKH1048573 FUD1048573 GDZ1048573 GNV1048573 GXR1048573 HHN1048573 HRJ1048573 IBF1048573 ILB1048573 IUX1048573 JET1048573 JOP1048573 JYL1048573 KIH1048573 KSD1048573 LBZ1048573 LLV1048573 LVR1048573 MFN1048573 MPJ1048573 MZF1048573 NJB1048573 NSX1048573 OCT1048573 OMP1048573 OWL1048573 PGH1048573 PQD1048573 PZZ1048573 QJV1048573 QTR1048573 RDN1048573 RNJ1048573 RXF1048573 SHB1048573 SQX1048573 TAT1048573 TKP1048573 TUL1048573 UEH1048573 UOD1048573 UXZ1048573 VHV1048573 VRR1048573 WBN1048573 WLJ1048573 WVF1048573" xr:uid="{1855515F-9A59-4EB5-A943-11AFB25C068F}"/>
    <dataValidation allowBlank="1" showInputMessage="1" showErrorMessage="1" prompt="% decrease using amps"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xr:uid="{9AA5E05D-8714-42E8-BC56-78F21144F298}"/>
    <dataValidation allowBlank="1" showInputMessage="1" showErrorMessage="1" prompt="Enter Client's Name"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41288BC2-DD58-4073-BA0F-1C3DFCA84B58}"/>
    <dataValidation allowBlank="1" showInputMessage="1" showErrorMessage="1" promptTitle="Job Number" prompt="Enter the job number/client ID/audit number for this client.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1B883557-85AC-40E9-A986-D35EE23DF410}"/>
    <dataValidation allowBlank="1" showInputMessage="1" showErrorMessage="1" promptTitle="Replacement EER/EER2" prompt="Enter the EER found on the (Yellow) Energy Guide of the new replacement unit._x000a_If the new unit has EER2 rating, use the table below to find the applicable EER2 and input the applicable EER." sqref="D27" xr:uid="{D83A3D62-DDCD-4180-8753-6D89647C5662}"/>
    <dataValidation allowBlank="1" showInputMessage="1" showErrorMessage="1" promptTitle="Statewide Average" prompt="Enter the Statewide Average from your Fuel Cost Library within the Weatherization Assistant v10 for the applicable Program Year. " sqref="B12" xr:uid="{B7E9F3FF-0961-46F7-A8B7-13BE172252CE}"/>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7"/>
  <sheetViews>
    <sheetView workbookViewId="0">
      <selection activeCell="A7" sqref="A7"/>
    </sheetView>
  </sheetViews>
  <sheetFormatPr defaultRowHeight="14.5" x14ac:dyDescent="0.35"/>
  <cols>
    <col min="8" max="8" width="12" bestFit="1" customWidth="1"/>
    <col min="9" max="9" width="15.1796875" bestFit="1" customWidth="1"/>
  </cols>
  <sheetData>
    <row r="1" spans="1:10" x14ac:dyDescent="0.35">
      <c r="A1" t="s">
        <v>86</v>
      </c>
    </row>
    <row r="3" spans="1:10" x14ac:dyDescent="0.35">
      <c r="A3" s="19"/>
    </row>
    <row r="4" spans="1:10" x14ac:dyDescent="0.35">
      <c r="I4" s="17" t="s">
        <v>85</v>
      </c>
      <c r="J4" s="17" t="s">
        <v>96</v>
      </c>
    </row>
    <row r="5" spans="1:10" x14ac:dyDescent="0.35">
      <c r="H5" s="17" t="e">
        <f>#REF!</f>
        <v>#REF!</v>
      </c>
      <c r="I5" s="18" t="e">
        <f>IF(H5&gt;0,H5,IF(#REF!="Electric Resistance Furnace","N/A",IF(#REF!="Gas Furnace","N/A","")))</f>
        <v>#REF!</v>
      </c>
      <c r="J5" s="16" t="e">
        <f>IF(#REF!&gt;1,#REF!,"")</f>
        <v>#REF!</v>
      </c>
    </row>
    <row r="6" spans="1:10" s="17" customFormat="1" x14ac:dyDescent="0.35">
      <c r="A6" s="17" t="s">
        <v>87</v>
      </c>
      <c r="B6" s="17" t="s">
        <v>88</v>
      </c>
      <c r="C6" s="17" t="s">
        <v>89</v>
      </c>
      <c r="D6" s="17" t="s">
        <v>90</v>
      </c>
      <c r="E6" s="17" t="s">
        <v>91</v>
      </c>
      <c r="F6" s="17" t="s">
        <v>92</v>
      </c>
      <c r="G6" s="17" t="s">
        <v>93</v>
      </c>
      <c r="H6" s="17" t="s">
        <v>94</v>
      </c>
      <c r="J6" s="17" t="s">
        <v>95</v>
      </c>
    </row>
    <row r="7" spans="1:10" s="16" customFormat="1" x14ac:dyDescent="0.35">
      <c r="A7" s="16" t="e">
        <f>IF(#REF!="DOE","TRUE","FALSE")</f>
        <v>#REF!</v>
      </c>
      <c r="B7" s="16" t="e">
        <f>IF(#REF!="LIHEAP","TRUE","FALSE")</f>
        <v>#REF!</v>
      </c>
      <c r="C7" s="16" t="e">
        <f>IF(#REF!="DOE &amp; LIHEAP","TRUE","FALSE")</f>
        <v>#REF!</v>
      </c>
      <c r="D7" s="16" t="e">
        <f>IF(#REF!="Gas Furnace","TRUE","FALSE")</f>
        <v>#REF!</v>
      </c>
      <c r="E7" s="16" t="e">
        <f>IF(#REF!="Electric Resistance Furnace","TRUE","FALSE")</f>
        <v>#REF!</v>
      </c>
      <c r="F7" s="16" t="e">
        <f>IF(#REF!="Heat Pump","TRUE","FALSE")</f>
        <v>#REF!</v>
      </c>
      <c r="G7" s="16" t="e">
        <f>IF(#REF!="TRUE","N/A",IF(#REF!="TRUE",1,IF(#REF!="TRUE","N/A","")))</f>
        <v>#REF!</v>
      </c>
      <c r="H7" s="16" t="e">
        <f>IF(#REF!="Conditioned Space","Conditioned",IF(#REF!="Unconditioned Space","Unconditioned",FALSE))</f>
        <v>#REF!</v>
      </c>
      <c r="J7" s="16" t="e">
        <f>IF(AND(#REF!&lt;1,#REF!&lt;1),"",IF(AND(#REF!="False",#REF!=""),"N/A",IF(AND(#REF!="True",#REF!&gt;0),#REF!,IF(AND(#REF!="True",#REF!&lt;1),"Requires combustion analyzer",IF(AND(#REF!&gt;1,#REF!="TRUE"),"N/A",IF(AND(#REF!&gt;1,#REF!="TRUE"),"N/A"))))))</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Central HVAC Degradation Calc</vt:lpstr>
      <vt:lpstr>RAC Degradation Calc</vt:lpstr>
      <vt:lpstr>Sheet1</vt:lpstr>
      <vt:lpstr>Sheet2</vt:lpstr>
      <vt:lpstr>'Central HVAC Degradation Calc'!Print_Area</vt:lpstr>
      <vt:lpstr>'RAC Degradation Calc'!Print_Area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jgagne</dc:creator>
  <cp:lastModifiedBy>Evan Brown</cp:lastModifiedBy>
  <cp:lastPrinted>2024-04-03T18:10:48Z</cp:lastPrinted>
  <dcterms:created xsi:type="dcterms:W3CDTF">2017-01-20T20:09:41Z</dcterms:created>
  <dcterms:modified xsi:type="dcterms:W3CDTF">2025-08-12T15:54:15Z</dcterms:modified>
</cp:coreProperties>
</file>