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ca\catr\WAP\WAP - CT-EB Shared Working Docs\October 2023 Web Updates\"/>
    </mc:Choice>
  </mc:AlternateContent>
  <workbookProtection workbookAlgorithmName="SHA-512" workbookHashValue="bCex4t5z2wfwif/9vhvCT8pW4SKUGRm1fAYLZmrFRk7wotULTc0L7UmeKm9EvVWWt/jRgFxAZtEv7n44eV7NHQ==" workbookSaltValue="QD9ozKLS8G8tJrKYT6PNDw==" workbookSpinCount="100000" lockStructure="1"/>
  <bookViews>
    <workbookView xWindow="480" yWindow="3720" windowWidth="20730" windowHeight="11760"/>
  </bookViews>
  <sheets>
    <sheet name="Data Sheet" sheetId="1" r:id="rId1"/>
    <sheet name="Target Policies" sheetId="2" r:id="rId2"/>
    <sheet name="Sheet3" sheetId="3" state="hidden" r:id="rId3"/>
  </sheets>
  <definedNames>
    <definedName name="Z_6BA93A1E_DA3F_4332_8827_B6316607DEBE_.wvu.Cols" localSheetId="0" hidden="1">'Data Sheet'!$N:$XFD</definedName>
    <definedName name="Z_6BA93A1E_DA3F_4332_8827_B6316607DEBE_.wvu.Cols" localSheetId="2" hidden="1">Sheet3!$A:$AA</definedName>
    <definedName name="Z_6BA93A1E_DA3F_4332_8827_B6316607DEBE_.wvu.Rows" localSheetId="0" hidden="1">'Data Sheet'!$117:$1048576</definedName>
    <definedName name="Z_96E0CE35_E0EB_45AA_9D9A_2D49B43AC525_.wvu.Cols" localSheetId="0" hidden="1">'Data Sheet'!$N:$XFD</definedName>
    <definedName name="Z_96E0CE35_E0EB_45AA_9D9A_2D49B43AC525_.wvu.Cols" localSheetId="2" hidden="1">Sheet3!$A:$AA</definedName>
    <definedName name="Z_96E0CE35_E0EB_45AA_9D9A_2D49B43AC525_.wvu.Rows" localSheetId="0" hidden="1">'Data Sheet'!$117:$1048576</definedName>
  </definedNames>
  <calcPr calcId="162913"/>
  <customWorkbookViews>
    <customWorkbookView name="Chad Turner - Personal View" guid="{6BA93A1E-DA3F-4332-8827-B6316607DEBE}" mergeInterval="0" personalView="1" maximized="1" xWindow="-2409" yWindow="-8" windowWidth="2418" windowHeight="1368" activeSheetId="2"/>
    <customWorkbookView name="Windows User - Personal View" guid="{96E0CE35-E0EB-45AA-9D9A-2D49B43AC525}" mergeInterval="0" personalView="1" maximized="1" xWindow="1272" yWindow="-8" windowWidth="1936" windowHeight="1056" activeSheetId="2"/>
  </customWorkbookViews>
</workbook>
</file>

<file path=xl/calcChain.xml><?xml version="1.0" encoding="utf-8"?>
<calcChain xmlns="http://schemas.openxmlformats.org/spreadsheetml/2006/main">
  <c r="H24" i="1" l="1"/>
  <c r="K6" i="1" l="1"/>
  <c r="A38" i="1"/>
  <c r="J39" i="1" l="1"/>
  <c r="J42" i="1" l="1"/>
  <c r="J41" i="1"/>
  <c r="J40" i="1"/>
  <c r="B42" i="1" l="1"/>
  <c r="C42" i="1"/>
  <c r="D42" i="1"/>
  <c r="E42" i="1"/>
  <c r="F42" i="1"/>
  <c r="G42" i="1"/>
  <c r="A42" i="1"/>
  <c r="B40" i="1"/>
  <c r="C40" i="1"/>
  <c r="D40" i="1"/>
  <c r="E40" i="1"/>
  <c r="F40" i="1"/>
  <c r="G40" i="1"/>
  <c r="H40" i="1"/>
  <c r="A40" i="1"/>
  <c r="B38" i="1"/>
  <c r="C38" i="1"/>
  <c r="D38" i="1"/>
  <c r="E38" i="1"/>
  <c r="F38" i="1"/>
  <c r="G38" i="1"/>
  <c r="H38" i="1"/>
  <c r="M1" i="3"/>
  <c r="O1" i="3"/>
  <c r="M6" i="1" s="1"/>
  <c r="R8" i="3" l="1"/>
  <c r="V9" i="3"/>
  <c r="H43" i="1"/>
  <c r="M13" i="1"/>
  <c r="I49" i="1" s="1"/>
  <c r="M11" i="1"/>
  <c r="I48" i="1" s="1"/>
  <c r="M33" i="1"/>
  <c r="M31" i="1"/>
  <c r="M29" i="1"/>
  <c r="F44" i="1"/>
  <c r="C15" i="3" l="1"/>
  <c r="C21" i="3"/>
  <c r="C20" i="3"/>
  <c r="C19" i="3"/>
  <c r="C18" i="3"/>
  <c r="C17" i="3"/>
  <c r="C16" i="3"/>
  <c r="C14" i="3"/>
  <c r="K2" i="3" l="1"/>
  <c r="K27" i="3" s="1"/>
  <c r="J2" i="3"/>
  <c r="J27" i="3" s="1"/>
  <c r="I2" i="3"/>
  <c r="I27" i="3" s="1"/>
  <c r="H2" i="3"/>
  <c r="H27" i="3" s="1"/>
  <c r="G2" i="3"/>
  <c r="G27" i="3" s="1"/>
  <c r="G15" i="3"/>
  <c r="G14" i="3"/>
  <c r="C11" i="3"/>
  <c r="C10" i="3"/>
  <c r="C9" i="3"/>
  <c r="C8" i="3"/>
  <c r="C7" i="3"/>
  <c r="C6" i="3"/>
  <c r="C5" i="3"/>
  <c r="C4" i="3"/>
  <c r="C3" i="3"/>
  <c r="G8" i="3" l="1"/>
  <c r="G6" i="3"/>
  <c r="G11" i="3"/>
  <c r="K12" i="3"/>
  <c r="G10" i="3"/>
  <c r="I6" i="3"/>
  <c r="K13" i="3"/>
  <c r="H10" i="3"/>
  <c r="J10" i="3"/>
  <c r="J5" i="3"/>
  <c r="J4" i="3"/>
  <c r="J17" i="3"/>
  <c r="J3" i="3"/>
  <c r="H14" i="3"/>
  <c r="H3" i="3"/>
  <c r="H5" i="3"/>
  <c r="H4" i="3"/>
  <c r="H17" i="3"/>
  <c r="I12" i="3"/>
  <c r="I4" i="3"/>
  <c r="I17" i="3"/>
  <c r="I3" i="3"/>
  <c r="I5" i="3"/>
  <c r="G13" i="3"/>
  <c r="G5" i="3"/>
  <c r="G4" i="3"/>
  <c r="G17" i="3"/>
  <c r="G3" i="3"/>
  <c r="K7" i="3"/>
  <c r="K5" i="3"/>
  <c r="K4" i="3"/>
  <c r="K17" i="3"/>
  <c r="K3" i="3"/>
  <c r="G7" i="3"/>
  <c r="G12" i="3"/>
  <c r="I14" i="3"/>
  <c r="K9" i="3"/>
  <c r="J13" i="3"/>
  <c r="J8" i="3"/>
  <c r="J15" i="3"/>
  <c r="J9" i="3"/>
  <c r="J6" i="3"/>
  <c r="J11" i="3"/>
  <c r="H9" i="3"/>
  <c r="J12" i="3"/>
  <c r="J7" i="3"/>
  <c r="K8" i="3"/>
  <c r="K14" i="3"/>
  <c r="K10" i="3"/>
  <c r="K15" i="3"/>
  <c r="I11" i="3"/>
  <c r="H6" i="3"/>
  <c r="I10" i="3"/>
  <c r="H13" i="3"/>
  <c r="G9" i="3"/>
  <c r="I7" i="3"/>
  <c r="I15" i="3"/>
  <c r="J14" i="3"/>
  <c r="K6" i="3"/>
  <c r="K11" i="3"/>
  <c r="I9" i="3"/>
  <c r="I13" i="3"/>
  <c r="I8" i="3"/>
  <c r="H8" i="3"/>
  <c r="H12" i="3"/>
  <c r="H7" i="3"/>
  <c r="H11" i="3"/>
  <c r="H15" i="3"/>
  <c r="I28" i="3" l="1"/>
  <c r="I32" i="3"/>
  <c r="I33" i="3"/>
  <c r="K33" i="3"/>
  <c r="K28" i="3"/>
  <c r="K32" i="3"/>
  <c r="G32" i="3"/>
  <c r="G28" i="3"/>
  <c r="G33" i="3"/>
  <c r="H32" i="3"/>
  <c r="H33" i="3"/>
  <c r="H28" i="3"/>
  <c r="J28" i="3"/>
  <c r="J33" i="3"/>
  <c r="J32" i="3"/>
  <c r="K29" i="3"/>
  <c r="K22" i="3"/>
  <c r="K18" i="3"/>
  <c r="K34" i="3"/>
  <c r="K30" i="3"/>
  <c r="K23" i="3"/>
  <c r="K19" i="3"/>
  <c r="K31" i="3"/>
  <c r="K24" i="3"/>
  <c r="K20" i="3"/>
  <c r="K21" i="3"/>
  <c r="J34" i="3"/>
  <c r="J30" i="3"/>
  <c r="J23" i="3"/>
  <c r="J19" i="3"/>
  <c r="J31" i="3"/>
  <c r="J24" i="3"/>
  <c r="J20" i="3"/>
  <c r="J21" i="3"/>
  <c r="J29" i="3"/>
  <c r="J22" i="3"/>
  <c r="J18" i="3"/>
  <c r="I31" i="3"/>
  <c r="I24" i="3"/>
  <c r="I20" i="3"/>
  <c r="I21" i="3"/>
  <c r="I29" i="3"/>
  <c r="I22" i="3"/>
  <c r="I18" i="3"/>
  <c r="I34" i="3"/>
  <c r="I30" i="3"/>
  <c r="I23" i="3"/>
  <c r="I19" i="3"/>
  <c r="H21" i="3"/>
  <c r="H29" i="3"/>
  <c r="H22" i="3"/>
  <c r="H18" i="3"/>
  <c r="H34" i="3"/>
  <c r="H30" i="3"/>
  <c r="H23" i="3"/>
  <c r="H19" i="3"/>
  <c r="H31" i="3"/>
  <c r="H24" i="3"/>
  <c r="H20" i="3"/>
  <c r="G29" i="3"/>
  <c r="G22" i="3"/>
  <c r="G18" i="3"/>
  <c r="G34" i="3"/>
  <c r="G30" i="3"/>
  <c r="G23" i="3"/>
  <c r="G19" i="3"/>
  <c r="G31" i="3"/>
  <c r="G24" i="3"/>
  <c r="G20" i="3"/>
  <c r="G21" i="3"/>
  <c r="N8" i="3" l="1"/>
  <c r="T8" i="3"/>
  <c r="P8" i="3" s="1"/>
  <c r="V8" i="3" l="1"/>
  <c r="V10" i="3" s="1"/>
  <c r="M9" i="1" s="1"/>
  <c r="I46" i="1" l="1"/>
</calcChain>
</file>

<file path=xl/sharedStrings.xml><?xml version="1.0" encoding="utf-8"?>
<sst xmlns="http://schemas.openxmlformats.org/spreadsheetml/2006/main" count="125" uniqueCount="96">
  <si>
    <t xml:space="preserve">For best accessibility, use the arrow keys to navigate through this form. </t>
  </si>
  <si>
    <t>Texas Department of Housing &amp; Community Affairs</t>
  </si>
  <si>
    <t>1. Client</t>
  </si>
  <si>
    <t>Job #</t>
  </si>
  <si>
    <t>2. Sq. Ft of Unit</t>
  </si>
  <si>
    <t>3. Ceiling Height</t>
  </si>
  <si>
    <t>4. Total Volume</t>
  </si>
  <si>
    <t>5. ACH</t>
  </si>
  <si>
    <t>Readings from Initial Assessment</t>
  </si>
  <si>
    <t>TARGET</t>
  </si>
  <si>
    <t>6.  Initial BD CFM Reading</t>
  </si>
  <si>
    <t>cfm</t>
  </si>
  <si>
    <t>@</t>
  </si>
  <si>
    <t>Pa</t>
  </si>
  <si>
    <t>B/D Ring #</t>
  </si>
  <si>
    <t>7.  Initial Total Duct Leakage</t>
  </si>
  <si>
    <t>D/B Ring #</t>
  </si>
  <si>
    <t>8.  Initial WRTO Duct Leakage</t>
  </si>
  <si>
    <t>9. Duct Operating Pressures BEFORE duct sealing</t>
  </si>
  <si>
    <t>Supply:</t>
  </si>
  <si>
    <t>Return:</t>
  </si>
  <si>
    <t>Subs should always work to air seal/duct seal as far below target as possible, while still remaining within scope of program.</t>
  </si>
  <si>
    <t>10. Pressure Pan Readings (Pa) per Register @ Assessment</t>
  </si>
  <si>
    <t>11. ASHRAE Readings @ Assessment</t>
  </si>
  <si>
    <t>Return</t>
  </si>
  <si>
    <t>Reg 1</t>
  </si>
  <si>
    <t>Reg 2</t>
  </si>
  <si>
    <t>Reg 3</t>
  </si>
  <si>
    <t>Reg 4</t>
  </si>
  <si>
    <t>Reg 5</t>
  </si>
  <si>
    <t>Reg 6</t>
  </si>
  <si>
    <t>Reg 7</t>
  </si>
  <si>
    <t>CFM</t>
  </si>
  <si>
    <t>Term Out</t>
  </si>
  <si>
    <t>Open Window?</t>
  </si>
  <si>
    <t>Reg 8</t>
  </si>
  <si>
    <t>Reg 9</t>
  </si>
  <si>
    <t>Reg 10</t>
  </si>
  <si>
    <t>Reg 11</t>
  </si>
  <si>
    <t>Reg 12</t>
  </si>
  <si>
    <t>Reg 13</t>
  </si>
  <si>
    <t>Reg 14</t>
  </si>
  <si>
    <t>TOTAL</t>
  </si>
  <si>
    <t># of occupants</t>
  </si>
  <si>
    <t>Readings from Final Inspection</t>
  </si>
  <si>
    <t>12. Final BD CFM Reading</t>
  </si>
  <si>
    <t>13. Final Total Duct Leakage</t>
  </si>
  <si>
    <t>14. Final WRTO Duct Leakage</t>
  </si>
  <si>
    <t>15. Duct Operating Pressures AFTER duct sealing</t>
  </si>
  <si>
    <t>16. Pressure Pan Readings (Pa) per Register @ Final</t>
  </si>
  <si>
    <t>17. ASHRAE Readings @ Final</t>
  </si>
  <si>
    <t>Pressure Pan Reduction Achieved:</t>
  </si>
  <si>
    <t>18. Did Sub meet Blower Door Target CFM?</t>
  </si>
  <si>
    <t>If NOT Met, have the weatherization crew do more effective air sealing work and/or document why unable to achieve targets.</t>
  </si>
  <si>
    <t>19. Did Sub meet Total Duct System Leakage Target CFM?</t>
  </si>
  <si>
    <t>If NOT Met, have the weatherization crew do more effective duct sealing work and/or document why unable to achieve targets.</t>
  </si>
  <si>
    <t>I certify that all the above referenced information is true and accurate.</t>
  </si>
  <si>
    <t>Subrecipient Representative</t>
  </si>
  <si>
    <t>Date</t>
  </si>
  <si>
    <t>OAS</t>
  </si>
  <si>
    <t>Volume</t>
  </si>
  <si>
    <t>BTL</t>
  </si>
  <si>
    <t>MRV</t>
  </si>
  <si>
    <t>ACH</t>
  </si>
  <si>
    <t>20. Did Sub meet WRTO Duct System Leakage Target CFM?</t>
  </si>
  <si>
    <t>21. Did Subrecipient maximize air and duct sealing measures to get final readings as low as possible within</t>
  </si>
  <si>
    <t>allowable limits?</t>
  </si>
  <si>
    <t>Old Formula</t>
  </si>
  <si>
    <t>New Formula</t>
  </si>
  <si>
    <t>Initial BD</t>
  </si>
  <si>
    <t xml:space="preserve"> Reduced</t>
  </si>
  <si>
    <t>Reg15</t>
  </si>
  <si>
    <t>Reg 16</t>
  </si>
  <si>
    <t>Reg 17</t>
  </si>
  <si>
    <t>Reg 18</t>
  </si>
  <si>
    <t>Reg 19</t>
  </si>
  <si>
    <t>Reg 20</t>
  </si>
  <si>
    <t>Reg 21</t>
  </si>
  <si>
    <t>Reg 22</t>
  </si>
  <si>
    <t>ASHRAE</t>
  </si>
  <si>
    <t>Target</t>
  </si>
  <si>
    <t>R.T.</t>
  </si>
  <si>
    <t>Blower Door Calculations</t>
  </si>
  <si>
    <t>Using the initial BD reading, select appropriate ACH number. These are the MAXIMUM allowable ACH options. Subrecipients are encouraged to choose lower ACH.</t>
  </si>
  <si>
    <t>0-1999 = 9ACH</t>
  </si>
  <si>
    <t>2000-2999 = 10ACH</t>
  </si>
  <si>
    <t>3000-3999 = 11ACH</t>
  </si>
  <si>
    <t>4000-4999 = 12ACH</t>
  </si>
  <si>
    <t>5000+ = 13ACH</t>
  </si>
  <si>
    <t># of bedrooms +1</t>
  </si>
  <si>
    <t>Bath1</t>
  </si>
  <si>
    <t>Bath2</t>
  </si>
  <si>
    <t>Kitchen</t>
  </si>
  <si>
    <t>Utility</t>
  </si>
  <si>
    <t>ASHRAE 62.2 Dwelling Height</t>
  </si>
  <si>
    <r>
      <t>BLOWER DOOR / DUCT BLASTER DATA SHEET</t>
    </r>
    <r>
      <rPr>
        <sz val="10"/>
        <rFont val="Calibri"/>
        <family val="2"/>
        <scheme val="minor"/>
      </rPr>
      <t xml:space="preserve"> (October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</si>
</sst>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1"/>
      <color theme="1"/>
      <name val="Calibri"/>
      <family val="2"/>
      <scheme val="minor"/>
    </font>
    <font>
      <sz val="10"/>
      <color theme="0"/>
      <name val="Calibri"/>
      <family val="2"/>
      <scheme val="minor"/>
    </font>
    <font>
      <sz val="10"/>
      <name val="Calibri"/>
      <family val="2"/>
      <scheme val="minor"/>
    </font>
    <font>
      <b/>
      <sz val="12"/>
      <name val="Calibri"/>
      <family val="2"/>
      <scheme val="minor"/>
    </font>
    <font>
      <b/>
      <sz val="10"/>
      <name val="Calibri"/>
      <family val="2"/>
      <scheme val="minor"/>
    </font>
    <font>
      <sz val="8"/>
      <name val="Calibri"/>
      <family val="2"/>
      <scheme val="minor"/>
    </font>
    <font>
      <i/>
      <sz val="9"/>
      <name val="Calibri"/>
      <family val="2"/>
      <scheme val="minor"/>
    </font>
    <font>
      <i/>
      <sz val="10"/>
      <name val="Calibri"/>
      <family val="2"/>
      <scheme val="minor"/>
    </font>
    <font>
      <b/>
      <sz val="8"/>
      <name val="Calibri"/>
      <family val="2"/>
      <scheme val="minor"/>
    </font>
    <font>
      <sz val="8"/>
      <color rgb="FFFF0000"/>
      <name val="Calibri"/>
      <family val="2"/>
      <scheme val="minor"/>
    </font>
    <font>
      <b/>
      <sz val="10"/>
      <color rgb="FFFF0000"/>
      <name val="Calibri"/>
      <family val="2"/>
      <scheme val="minor"/>
    </font>
    <font>
      <sz val="9"/>
      <name val="Calibri"/>
      <family val="2"/>
      <scheme val="minor"/>
    </font>
    <font>
      <b/>
      <sz val="9"/>
      <color rgb="FFFF0000"/>
      <name val="Calibri"/>
      <family val="2"/>
      <scheme val="minor"/>
    </font>
    <font>
      <sz val="10"/>
      <color rgb="FFFF0000"/>
      <name val="Calibri"/>
      <family val="2"/>
      <scheme val="minor"/>
    </font>
    <font>
      <b/>
      <sz val="9"/>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u/>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4.9989318521683403E-2"/>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FF66"/>
        <bgColor indexed="64"/>
      </patternFill>
    </fill>
    <fill>
      <patternFill patternType="solid">
        <fgColor theme="5" tint="0.79998168889431442"/>
        <bgColor indexed="65"/>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5" fillId="8" borderId="0" applyNumberFormat="0" applyBorder="0" applyAlignment="0" applyProtection="0"/>
  </cellStyleXfs>
  <cellXfs count="143">
    <xf numFmtId="0" fontId="0" fillId="0" borderId="0" xfId="0"/>
    <xf numFmtId="0" fontId="2" fillId="0" borderId="0" xfId="0" applyFont="1" applyFill="1"/>
    <xf numFmtId="0" fontId="2" fillId="6" borderId="1" xfId="0" applyFont="1" applyFill="1" applyBorder="1" applyAlignment="1" applyProtection="1">
      <alignment horizontal="center" vertical="center"/>
      <protection locked="0"/>
    </xf>
    <xf numFmtId="1" fontId="2" fillId="6" borderId="1" xfId="0" applyNumberFormat="1" applyFont="1" applyFill="1" applyBorder="1" applyAlignment="1" applyProtection="1">
      <alignment horizontal="center" vertical="center"/>
      <protection locked="0"/>
    </xf>
    <xf numFmtId="164" fontId="2" fillId="6" borderId="1" xfId="0" applyNumberFormat="1" applyFont="1" applyFill="1" applyBorder="1" applyAlignment="1" applyProtection="1">
      <alignment horizontal="center" vertical="center"/>
      <protection locked="0"/>
    </xf>
    <xf numFmtId="1" fontId="4" fillId="6" borderId="1" xfId="0" applyNumberFormat="1" applyFont="1" applyFill="1" applyBorder="1" applyAlignment="1" applyProtection="1">
      <alignment horizontal="center" vertical="center"/>
      <protection locked="0"/>
    </xf>
    <xf numFmtId="2" fontId="2" fillId="6" borderId="1" xfId="0" applyNumberFormat="1" applyFont="1" applyFill="1" applyBorder="1" applyAlignment="1" applyProtection="1">
      <alignment horizontal="center" vertical="center"/>
      <protection locked="0"/>
    </xf>
    <xf numFmtId="0" fontId="1" fillId="0" borderId="0" xfId="0" applyFont="1" applyProtection="1"/>
    <xf numFmtId="0" fontId="2" fillId="2" borderId="0" xfId="0" applyFont="1" applyFill="1" applyAlignment="1" applyProtection="1"/>
    <xf numFmtId="0" fontId="2" fillId="2" borderId="0" xfId="0" applyFont="1" applyFill="1" applyAlignment="1" applyProtection="1">
      <alignment horizontal="center"/>
    </xf>
    <xf numFmtId="0" fontId="2" fillId="2" borderId="0" xfId="0" applyFont="1" applyFill="1" applyProtection="1"/>
    <xf numFmtId="0" fontId="3" fillId="2" borderId="0" xfId="0" applyFont="1" applyFill="1" applyAlignment="1" applyProtection="1"/>
    <xf numFmtId="0" fontId="3" fillId="2" borderId="0" xfId="0" applyFont="1" applyFill="1" applyAlignment="1" applyProtection="1">
      <alignment horizontal="center"/>
    </xf>
    <xf numFmtId="0" fontId="4" fillId="2" borderId="0" xfId="0" applyFont="1" applyFill="1" applyAlignment="1" applyProtection="1"/>
    <xf numFmtId="0" fontId="4" fillId="2" borderId="0" xfId="0" applyFont="1" applyFill="1" applyBorder="1" applyAlignment="1" applyProtection="1">
      <alignment shrinkToFit="1"/>
    </xf>
    <xf numFmtId="0" fontId="4" fillId="2" borderId="0" xfId="0" applyFont="1" applyFill="1" applyBorder="1" applyAlignment="1" applyProtection="1"/>
    <xf numFmtId="0" fontId="2" fillId="2" borderId="0" xfId="0" applyFont="1" applyFill="1" applyBorder="1" applyAlignment="1" applyProtection="1"/>
    <xf numFmtId="0" fontId="4" fillId="0" borderId="0" xfId="0" applyFont="1" applyFill="1" applyProtection="1"/>
    <xf numFmtId="0" fontId="2" fillId="2" borderId="1" xfId="0" applyFont="1" applyFill="1" applyBorder="1" applyAlignment="1" applyProtection="1">
      <alignment horizontal="center"/>
    </xf>
    <xf numFmtId="0" fontId="4" fillId="3" borderId="0" xfId="0" applyFont="1" applyFill="1" applyBorder="1" applyAlignment="1" applyProtection="1"/>
    <xf numFmtId="0" fontId="4" fillId="3" borderId="0" xfId="0" applyFont="1" applyFill="1" applyBorder="1" applyAlignment="1" applyProtection="1">
      <alignment horizontal="center"/>
    </xf>
    <xf numFmtId="0" fontId="5" fillId="2" borderId="0" xfId="0" applyFont="1" applyFill="1" applyBorder="1" applyProtection="1"/>
    <xf numFmtId="0" fontId="4" fillId="2" borderId="1" xfId="0" applyFont="1" applyFill="1" applyBorder="1" applyAlignment="1" applyProtection="1">
      <alignment horizontal="center"/>
    </xf>
    <xf numFmtId="2" fontId="5" fillId="2" borderId="0" xfId="0" applyNumberFormat="1" applyFont="1" applyFill="1" applyBorder="1" applyProtection="1"/>
    <xf numFmtId="0" fontId="2" fillId="0" borderId="0" xfId="0" applyFont="1" applyFill="1" applyProtection="1"/>
    <xf numFmtId="0" fontId="9" fillId="2" borderId="0" xfId="0" applyFont="1" applyFill="1" applyAlignment="1" applyProtection="1">
      <alignment horizontal="right"/>
    </xf>
    <xf numFmtId="164" fontId="10" fillId="2" borderId="0" xfId="0" applyNumberFormat="1" applyFont="1" applyFill="1" applyAlignment="1" applyProtection="1">
      <alignment horizontal="center"/>
    </xf>
    <xf numFmtId="164" fontId="4" fillId="2" borderId="3" xfId="0" applyNumberFormat="1" applyFont="1" applyFill="1" applyBorder="1" applyAlignment="1" applyProtection="1">
      <alignment horizontal="center"/>
    </xf>
    <xf numFmtId="1" fontId="2" fillId="2" borderId="0" xfId="0" applyNumberFormat="1" applyFont="1" applyFill="1" applyAlignment="1" applyProtection="1">
      <alignment horizontal="center"/>
    </xf>
    <xf numFmtId="164" fontId="4" fillId="2" borderId="0" xfId="0" applyNumberFormat="1" applyFont="1" applyFill="1" applyAlignment="1" applyProtection="1">
      <alignment horizontal="center"/>
    </xf>
    <xf numFmtId="164" fontId="4" fillId="2" borderId="0" xfId="0" applyNumberFormat="1" applyFont="1" applyFill="1" applyBorder="1" applyAlignment="1" applyProtection="1"/>
    <xf numFmtId="0" fontId="6" fillId="2" borderId="4" xfId="0" applyFont="1" applyFill="1" applyBorder="1" applyAlignment="1" applyProtection="1"/>
    <xf numFmtId="0" fontId="7" fillId="2" borderId="0" xfId="0" applyFont="1" applyFill="1" applyBorder="1" applyAlignment="1" applyProtection="1"/>
    <xf numFmtId="0" fontId="7" fillId="2" borderId="0" xfId="0" applyFont="1" applyFill="1" applyBorder="1" applyAlignment="1" applyProtection="1">
      <alignment horizontal="center"/>
    </xf>
    <xf numFmtId="0" fontId="8" fillId="2" borderId="0" xfId="0" applyFont="1" applyFill="1" applyBorder="1" applyAlignment="1" applyProtection="1"/>
    <xf numFmtId="0" fontId="4" fillId="2" borderId="0" xfId="0" applyFont="1" applyFill="1" applyBorder="1" applyAlignment="1" applyProtection="1">
      <alignment horizontal="center"/>
    </xf>
    <xf numFmtId="0" fontId="2" fillId="4" borderId="3" xfId="0" applyFont="1" applyFill="1" applyBorder="1" applyAlignment="1" applyProtection="1">
      <alignment horizontal="center"/>
    </xf>
    <xf numFmtId="0" fontId="2" fillId="2" borderId="3" xfId="0" applyFont="1" applyFill="1" applyBorder="1" applyAlignment="1" applyProtection="1">
      <alignment horizontal="center" wrapText="1"/>
    </xf>
    <xf numFmtId="0" fontId="5" fillId="2" borderId="3" xfId="0" applyFont="1" applyFill="1" applyBorder="1" applyAlignment="1" applyProtection="1">
      <alignment horizontal="center" wrapText="1"/>
    </xf>
    <xf numFmtId="0" fontId="4" fillId="2" borderId="3" xfId="0" applyFont="1" applyFill="1" applyBorder="1" applyAlignment="1" applyProtection="1">
      <alignment horizontal="center"/>
    </xf>
    <xf numFmtId="164" fontId="4" fillId="2" borderId="3" xfId="0" applyNumberFormat="1" applyFont="1" applyFill="1" applyBorder="1" applyAlignment="1" applyProtection="1">
      <alignment horizontal="center" vertical="center"/>
    </xf>
    <xf numFmtId="0" fontId="2" fillId="4" borderId="6" xfId="0" applyFont="1" applyFill="1" applyBorder="1" applyAlignment="1" applyProtection="1">
      <alignment horizontal="center"/>
    </xf>
    <xf numFmtId="0" fontId="2" fillId="2" borderId="0" xfId="0" applyFont="1" applyFill="1" applyBorder="1" applyProtection="1"/>
    <xf numFmtId="1" fontId="2" fillId="2" borderId="8" xfId="0" applyNumberFormat="1" applyFont="1" applyFill="1" applyBorder="1" applyAlignment="1" applyProtection="1">
      <alignment horizontal="center"/>
    </xf>
    <xf numFmtId="0" fontId="2" fillId="4" borderId="8" xfId="0" applyFont="1" applyFill="1" applyBorder="1" applyAlignment="1" applyProtection="1">
      <alignment horizontal="center"/>
    </xf>
    <xf numFmtId="0" fontId="8" fillId="2" borderId="3" xfId="0" applyFont="1" applyFill="1" applyBorder="1" applyAlignment="1" applyProtection="1">
      <alignment horizontal="center" wrapText="1"/>
    </xf>
    <xf numFmtId="165" fontId="4" fillId="2" borderId="3" xfId="0" applyNumberFormat="1" applyFont="1" applyFill="1" applyBorder="1" applyAlignment="1" applyProtection="1">
      <alignment horizontal="center" vertical="center"/>
    </xf>
    <xf numFmtId="165" fontId="4" fillId="2" borderId="0" xfId="0" applyNumberFormat="1" applyFont="1" applyFill="1" applyBorder="1" applyAlignment="1" applyProtection="1">
      <alignment horizontal="center"/>
    </xf>
    <xf numFmtId="165" fontId="4" fillId="5" borderId="13" xfId="0" applyNumberFormat="1" applyFont="1" applyFill="1" applyBorder="1" applyProtection="1"/>
    <xf numFmtId="164" fontId="2" fillId="2" borderId="0" xfId="0" applyNumberFormat="1" applyFont="1" applyFill="1" applyBorder="1" applyAlignment="1" applyProtection="1"/>
    <xf numFmtId="0" fontId="2" fillId="2" borderId="0" xfId="0" applyFont="1" applyFill="1" applyBorder="1" applyAlignment="1" applyProtection="1">
      <alignment horizontal="right"/>
    </xf>
    <xf numFmtId="165" fontId="4" fillId="2" borderId="0" xfId="0" applyNumberFormat="1" applyFont="1" applyFill="1" applyBorder="1" applyProtection="1"/>
    <xf numFmtId="0" fontId="6" fillId="2" borderId="0" xfId="0" applyFont="1" applyFill="1" applyAlignment="1" applyProtection="1"/>
    <xf numFmtId="0" fontId="7" fillId="2" borderId="0" xfId="0" applyFont="1" applyFill="1" applyAlignment="1" applyProtection="1"/>
    <xf numFmtId="0" fontId="2" fillId="2" borderId="0" xfId="0" applyFont="1" applyFill="1" applyAlignment="1" applyProtection="1">
      <alignment horizontal="left"/>
    </xf>
    <xf numFmtId="0" fontId="2" fillId="2" borderId="0" xfId="0" applyFont="1" applyFill="1" applyAlignment="1" applyProtection="1">
      <alignment wrapText="1"/>
    </xf>
    <xf numFmtId="0" fontId="2" fillId="2" borderId="1" xfId="0" applyFont="1" applyFill="1" applyBorder="1" applyAlignment="1" applyProtection="1"/>
    <xf numFmtId="0" fontId="2" fillId="2" borderId="10" xfId="0" applyFont="1" applyFill="1" applyBorder="1" applyAlignment="1" applyProtection="1"/>
    <xf numFmtId="0" fontId="2" fillId="2" borderId="3" xfId="0" applyFont="1" applyFill="1" applyBorder="1" applyAlignment="1" applyProtection="1">
      <alignment horizontal="center"/>
      <protection locked="0"/>
    </xf>
    <xf numFmtId="164" fontId="2" fillId="6" borderId="3" xfId="0" applyNumberFormat="1" applyFont="1" applyFill="1" applyBorder="1" applyAlignment="1" applyProtection="1">
      <alignment horizontal="center" vertical="center"/>
      <protection locked="0"/>
    </xf>
    <xf numFmtId="0" fontId="2" fillId="0" borderId="3" xfId="0" applyFont="1" applyFill="1" applyBorder="1" applyProtection="1">
      <protection locked="0"/>
    </xf>
    <xf numFmtId="0" fontId="2" fillId="6" borderId="3" xfId="0" applyFont="1" applyFill="1" applyBorder="1" applyAlignment="1" applyProtection="1">
      <alignment horizontal="center" vertical="center"/>
      <protection locked="0"/>
    </xf>
    <xf numFmtId="1" fontId="2" fillId="6" borderId="3" xfId="0" applyNumberFormat="1" applyFont="1" applyFill="1" applyBorder="1" applyAlignment="1" applyProtection="1">
      <alignment horizontal="center" vertical="center"/>
      <protection locked="0"/>
    </xf>
    <xf numFmtId="0" fontId="2" fillId="6" borderId="1" xfId="0" applyFont="1" applyFill="1" applyBorder="1" applyAlignment="1" applyProtection="1">
      <protection locked="0"/>
    </xf>
    <xf numFmtId="0" fontId="11" fillId="2" borderId="3"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xf>
    <xf numFmtId="1" fontId="2" fillId="2" borderId="1" xfId="0" applyNumberFormat="1" applyFont="1" applyFill="1" applyBorder="1" applyAlignment="1" applyProtection="1">
      <alignment horizontal="center"/>
      <protection locked="0"/>
    </xf>
    <xf numFmtId="0" fontId="9" fillId="2" borderId="0" xfId="0" applyFont="1" applyFill="1" applyBorder="1" applyProtection="1"/>
    <xf numFmtId="164" fontId="9" fillId="2" borderId="0" xfId="0" applyNumberFormat="1" applyFont="1" applyFill="1" applyBorder="1" applyAlignment="1" applyProtection="1">
      <alignment horizontal="center"/>
    </xf>
    <xf numFmtId="2" fontId="9" fillId="2" borderId="0" xfId="0" applyNumberFormat="1" applyFont="1" applyFill="1" applyBorder="1" applyProtection="1"/>
    <xf numFmtId="0" fontId="12" fillId="2" borderId="3" xfId="0" applyFont="1" applyFill="1" applyBorder="1" applyAlignment="1" applyProtection="1">
      <alignment horizontal="center"/>
    </xf>
    <xf numFmtId="0" fontId="13" fillId="0" borderId="0" xfId="0" applyFont="1" applyFill="1"/>
    <xf numFmtId="1" fontId="4" fillId="2" borderId="2" xfId="0" applyNumberFormat="1" applyFont="1" applyFill="1" applyBorder="1" applyAlignment="1" applyProtection="1">
      <alignment horizontal="center"/>
    </xf>
    <xf numFmtId="1" fontId="4" fillId="2" borderId="3" xfId="0" applyNumberFormat="1" applyFont="1" applyFill="1" applyBorder="1" applyAlignment="1" applyProtection="1">
      <alignment horizontal="center"/>
    </xf>
    <xf numFmtId="0" fontId="9" fillId="2" borderId="0" xfId="0" applyFont="1" applyFill="1" applyBorder="1" applyAlignment="1" applyProtection="1">
      <alignment horizontal="right"/>
    </xf>
    <xf numFmtId="164" fontId="2" fillId="2" borderId="3" xfId="0" applyNumberFormat="1" applyFont="1" applyFill="1" applyBorder="1" applyAlignment="1" applyProtection="1">
      <alignment horizontal="center"/>
      <protection locked="0"/>
    </xf>
    <xf numFmtId="0" fontId="0" fillId="0" borderId="0" xfId="0" applyProtection="1">
      <protection hidden="1"/>
    </xf>
    <xf numFmtId="0" fontId="0" fillId="3" borderId="3" xfId="0" applyFill="1" applyBorder="1" applyAlignment="1" applyProtection="1">
      <alignment horizontal="center"/>
      <protection hidden="1"/>
    </xf>
    <xf numFmtId="0" fontId="0" fillId="7" borderId="0" xfId="0" applyFill="1" applyProtection="1">
      <protection hidden="1"/>
    </xf>
    <xf numFmtId="0" fontId="0" fillId="7" borderId="0" xfId="0" applyFill="1" applyAlignment="1" applyProtection="1">
      <alignment horizontal="center" vertical="center"/>
      <protection hidden="1"/>
    </xf>
    <xf numFmtId="0" fontId="0" fillId="0" borderId="0" xfId="0" applyFill="1" applyProtection="1">
      <protection hidden="1"/>
    </xf>
    <xf numFmtId="2" fontId="0" fillId="0" borderId="5" xfId="0" applyNumberFormat="1" applyFill="1" applyBorder="1" applyAlignment="1" applyProtection="1">
      <alignment horizontal="center"/>
      <protection hidden="1"/>
    </xf>
    <xf numFmtId="2" fontId="0" fillId="0" borderId="3" xfId="0" applyNumberFormat="1" applyFill="1" applyBorder="1" applyAlignment="1" applyProtection="1">
      <alignment horizontal="center"/>
      <protection hidden="1"/>
    </xf>
    <xf numFmtId="0" fontId="0" fillId="0" borderId="3" xfId="0" applyFill="1" applyBorder="1" applyAlignment="1" applyProtection="1">
      <alignment horizontal="center"/>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0" fontId="0" fillId="0" borderId="0" xfId="0" applyAlignment="1" applyProtection="1">
      <alignment horizontal="right"/>
      <protection hidden="1"/>
    </xf>
    <xf numFmtId="2" fontId="0" fillId="0" borderId="5" xfId="0" applyNumberFormat="1" applyBorder="1" applyAlignment="1" applyProtection="1">
      <alignment horizontal="center"/>
      <protection hidden="1"/>
    </xf>
    <xf numFmtId="2" fontId="0" fillId="0" borderId="3" xfId="0" applyNumberFormat="1" applyBorder="1" applyAlignment="1" applyProtection="1">
      <alignment horizontal="center"/>
      <protection hidden="1"/>
    </xf>
    <xf numFmtId="0" fontId="0" fillId="0" borderId="3" xfId="0" applyBorder="1" applyAlignment="1" applyProtection="1">
      <alignment horizontal="center"/>
      <protection hidden="1"/>
    </xf>
    <xf numFmtId="0" fontId="0" fillId="5" borderId="0" xfId="0" applyFill="1" applyProtection="1">
      <protection hidden="1"/>
    </xf>
    <xf numFmtId="0" fontId="0" fillId="3" borderId="11" xfId="0" applyFill="1" applyBorder="1" applyAlignment="1" applyProtection="1">
      <alignment horizontal="center"/>
      <protection hidden="1"/>
    </xf>
    <xf numFmtId="2" fontId="0" fillId="0" borderId="6" xfId="0" applyNumberFormat="1" applyBorder="1" applyAlignment="1" applyProtection="1">
      <alignment horizontal="center"/>
      <protection hidden="1"/>
    </xf>
    <xf numFmtId="2" fontId="0" fillId="0" borderId="11" xfId="0" applyNumberFormat="1" applyBorder="1" applyAlignment="1" applyProtection="1">
      <alignment horizontal="center"/>
      <protection hidden="1"/>
    </xf>
    <xf numFmtId="0" fontId="0" fillId="0" borderId="11" xfId="0" applyBorder="1" applyAlignment="1" applyProtection="1">
      <alignment horizontal="center"/>
      <protection hidden="1"/>
    </xf>
    <xf numFmtId="0" fontId="0" fillId="3" borderId="3" xfId="0" applyFill="1" applyBorder="1" applyAlignment="1" applyProtection="1">
      <alignment textRotation="90"/>
      <protection hidden="1"/>
    </xf>
    <xf numFmtId="0" fontId="0" fillId="3" borderId="3" xfId="0" applyFill="1" applyBorder="1" applyProtection="1">
      <protection hidden="1"/>
    </xf>
    <xf numFmtId="2" fontId="0" fillId="3" borderId="3" xfId="0" applyNumberFormat="1" applyFill="1" applyBorder="1" applyProtection="1">
      <protection hidden="1"/>
    </xf>
    <xf numFmtId="0" fontId="0" fillId="3" borderId="3" xfId="0" applyFill="1" applyBorder="1" applyAlignment="1" applyProtection="1">
      <protection hidden="1"/>
    </xf>
    <xf numFmtId="0" fontId="0" fillId="0" borderId="3" xfId="0" applyBorder="1" applyProtection="1">
      <protection hidden="1"/>
    </xf>
    <xf numFmtId="0" fontId="0" fillId="0" borderId="0" xfId="0" applyFill="1" applyBorder="1" applyAlignment="1" applyProtection="1">
      <alignment textRotation="90"/>
      <protection hidden="1"/>
    </xf>
    <xf numFmtId="0" fontId="0" fillId="0" borderId="0" xfId="0" applyProtection="1">
      <protection locked="0"/>
    </xf>
    <xf numFmtId="164" fontId="11" fillId="2" borderId="2" xfId="0" applyNumberFormat="1" applyFont="1" applyFill="1" applyBorder="1" applyAlignment="1" applyProtection="1">
      <alignment horizontal="left"/>
    </xf>
    <xf numFmtId="1" fontId="11" fillId="2" borderId="5" xfId="0" applyNumberFormat="1" applyFont="1" applyFill="1" applyBorder="1" applyAlignment="1" applyProtection="1">
      <alignment horizontal="center"/>
    </xf>
    <xf numFmtId="0" fontId="14" fillId="2" borderId="0" xfId="0" applyFont="1" applyFill="1" applyAlignment="1" applyProtection="1"/>
    <xf numFmtId="0" fontId="11" fillId="2" borderId="0" xfId="0" applyFont="1" applyFill="1" applyAlignment="1" applyProtection="1"/>
    <xf numFmtId="164" fontId="11" fillId="2" borderId="7" xfId="0" applyNumberFormat="1" applyFont="1" applyFill="1" applyBorder="1" applyAlignment="1" applyProtection="1">
      <alignment horizontal="left"/>
    </xf>
    <xf numFmtId="0" fontId="11" fillId="2" borderId="3" xfId="0" applyFont="1" applyFill="1" applyBorder="1" applyAlignment="1" applyProtection="1">
      <alignment horizontal="center"/>
      <protection locked="0"/>
    </xf>
    <xf numFmtId="164" fontId="11" fillId="2" borderId="3" xfId="0" applyNumberFormat="1" applyFont="1" applyFill="1" applyBorder="1" applyAlignment="1" applyProtection="1">
      <alignment horizontal="center"/>
      <protection locked="0"/>
    </xf>
    <xf numFmtId="0" fontId="2" fillId="4" borderId="0" xfId="0" applyFont="1" applyFill="1" applyBorder="1" applyAlignment="1" applyProtection="1">
      <alignment horizontal="center"/>
    </xf>
    <xf numFmtId="1" fontId="11" fillId="6" borderId="3" xfId="0" applyNumberFormat="1" applyFont="1" applyFill="1" applyBorder="1" applyAlignment="1" applyProtection="1">
      <alignment horizontal="center" vertical="center"/>
      <protection locked="0"/>
    </xf>
    <xf numFmtId="0" fontId="17" fillId="0" borderId="0" xfId="0" applyFont="1" applyAlignment="1"/>
    <xf numFmtId="0" fontId="17" fillId="0" borderId="0" xfId="0" applyFont="1" applyAlignment="1">
      <alignment vertical="center"/>
    </xf>
    <xf numFmtId="0" fontId="16" fillId="0" borderId="0" xfId="0" applyFont="1"/>
    <xf numFmtId="0" fontId="18" fillId="0" borderId="0" xfId="0" applyFont="1"/>
    <xf numFmtId="0" fontId="0" fillId="0" borderId="0" xfId="1" applyFont="1" applyFill="1"/>
    <xf numFmtId="0" fontId="0" fillId="0" borderId="0" xfId="0" applyFill="1"/>
    <xf numFmtId="0" fontId="16" fillId="0" borderId="0" xfId="0" applyFont="1" applyFill="1"/>
    <xf numFmtId="0" fontId="0" fillId="0" borderId="0" xfId="0" applyAlignment="1"/>
    <xf numFmtId="0" fontId="4" fillId="6" borderId="1" xfId="0" applyFont="1" applyFill="1" applyBorder="1" applyAlignment="1" applyProtection="1">
      <alignment horizontal="left"/>
      <protection locked="0"/>
    </xf>
    <xf numFmtId="0" fontId="4" fillId="6" borderId="1" xfId="0" applyNumberFormat="1" applyFont="1" applyFill="1" applyBorder="1" applyAlignment="1" applyProtection="1">
      <alignment horizontal="left"/>
      <protection locked="0"/>
    </xf>
    <xf numFmtId="0" fontId="2" fillId="6" borderId="2" xfId="0" applyFont="1" applyFill="1" applyBorder="1" applyAlignment="1" applyProtection="1">
      <alignment horizontal="center"/>
      <protection locked="0"/>
    </xf>
    <xf numFmtId="0" fontId="2" fillId="6" borderId="5" xfId="0" applyFont="1" applyFill="1" applyBorder="1" applyAlignment="1" applyProtection="1">
      <alignment horizontal="center"/>
      <protection locked="0"/>
    </xf>
    <xf numFmtId="0" fontId="2" fillId="2" borderId="2" xfId="0" applyFont="1" applyFill="1" applyBorder="1" applyAlignment="1" applyProtection="1">
      <alignment horizontal="right"/>
    </xf>
    <xf numFmtId="0" fontId="2" fillId="2" borderId="9" xfId="0" applyFont="1" applyFill="1" applyBorder="1" applyAlignment="1" applyProtection="1">
      <alignment horizontal="right"/>
    </xf>
    <xf numFmtId="0" fontId="2" fillId="2" borderId="5" xfId="0" applyFont="1" applyFill="1" applyBorder="1" applyAlignment="1" applyProtection="1">
      <alignment horizontal="right"/>
    </xf>
    <xf numFmtId="0" fontId="2" fillId="6" borderId="1" xfId="0" applyFont="1" applyFill="1" applyBorder="1" applyAlignment="1" applyProtection="1">
      <alignment horizontal="center"/>
      <protection locked="0"/>
    </xf>
    <xf numFmtId="0" fontId="4" fillId="2" borderId="2" xfId="0" applyFont="1" applyFill="1" applyBorder="1" applyAlignment="1" applyProtection="1">
      <alignment horizontal="center"/>
    </xf>
    <xf numFmtId="0" fontId="4" fillId="2" borderId="5" xfId="0" applyFont="1" applyFill="1" applyBorder="1" applyAlignment="1" applyProtection="1">
      <alignment horizontal="center"/>
    </xf>
    <xf numFmtId="164" fontId="11" fillId="2" borderId="2" xfId="0" applyNumberFormat="1" applyFont="1" applyFill="1" applyBorder="1" applyAlignment="1" applyProtection="1">
      <alignment wrapText="1"/>
    </xf>
    <xf numFmtId="164" fontId="11" fillId="2" borderId="5" xfId="0" applyNumberFormat="1" applyFont="1" applyFill="1" applyBorder="1" applyAlignment="1" applyProtection="1">
      <alignment wrapText="1"/>
    </xf>
    <xf numFmtId="0" fontId="0" fillId="0" borderId="2" xfId="0" applyBorder="1" applyAlignment="1" applyProtection="1">
      <alignment horizontal="center"/>
      <protection hidden="1"/>
    </xf>
    <xf numFmtId="0" fontId="0" fillId="0" borderId="9" xfId="0" applyBorder="1" applyAlignment="1" applyProtection="1">
      <alignment horizontal="center"/>
      <protection hidden="1"/>
    </xf>
    <xf numFmtId="0" fontId="0" fillId="0" borderId="5" xfId="0" applyBorder="1" applyAlignment="1" applyProtection="1">
      <alignment horizontal="center"/>
      <protection hidden="1"/>
    </xf>
    <xf numFmtId="0" fontId="0" fillId="3" borderId="2" xfId="0" applyFill="1" applyBorder="1" applyAlignment="1" applyProtection="1">
      <alignment horizontal="center"/>
      <protection hidden="1"/>
    </xf>
    <xf numFmtId="0" fontId="0" fillId="3" borderId="9" xfId="0" applyFill="1" applyBorder="1" applyAlignment="1" applyProtection="1">
      <alignment horizontal="center"/>
      <protection hidden="1"/>
    </xf>
    <xf numFmtId="0" fontId="0" fillId="3" borderId="5" xfId="0" applyFill="1" applyBorder="1" applyAlignment="1" applyProtection="1">
      <alignment horizontal="center"/>
      <protection hidden="1"/>
    </xf>
    <xf numFmtId="0" fontId="0" fillId="3" borderId="3" xfId="0" applyFill="1" applyBorder="1" applyAlignment="1" applyProtection="1">
      <alignment horizontal="center" textRotation="90"/>
      <protection hidden="1"/>
    </xf>
    <xf numFmtId="0" fontId="0" fillId="3" borderId="11" xfId="0" applyFill="1" applyBorder="1" applyAlignment="1" applyProtection="1">
      <alignment horizontal="center" textRotation="90"/>
      <protection hidden="1"/>
    </xf>
    <xf numFmtId="0" fontId="0" fillId="3" borderId="12" xfId="0" applyFill="1" applyBorder="1" applyAlignment="1" applyProtection="1">
      <alignment horizontal="center" textRotation="90"/>
      <protection hidden="1"/>
    </xf>
    <xf numFmtId="0" fontId="0" fillId="3" borderId="13" xfId="0" applyFill="1" applyBorder="1" applyAlignment="1" applyProtection="1">
      <alignment horizontal="center" textRotation="90"/>
      <protection hidden="1"/>
    </xf>
    <xf numFmtId="0" fontId="0" fillId="0" borderId="0" xfId="0" applyAlignment="1" applyProtection="1">
      <alignment horizontal="center"/>
      <protection hidden="1"/>
    </xf>
  </cellXfs>
  <cellStyles count="2">
    <cellStyle name="20% - Accent2" xfId="1" builtinId="34"/>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15240</xdr:rowOff>
    </xdr:from>
    <xdr:ext cx="15720060" cy="11186160"/>
    <xdr:sp macro="" textlink="">
      <xdr:nvSpPr>
        <xdr:cNvPr id="3" name="TextBox 2"/>
        <xdr:cNvSpPr txBox="1"/>
      </xdr:nvSpPr>
      <xdr:spPr>
        <a:xfrm>
          <a:off x="0" y="15240"/>
          <a:ext cx="15720060" cy="1118616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gn="just">
            <a:lnSpc>
              <a:spcPct val="107000"/>
            </a:lnSpc>
            <a:spcBef>
              <a:spcPts val="0"/>
            </a:spcBef>
            <a:spcAft>
              <a:spcPts val="800"/>
            </a:spcAft>
          </a:pPr>
          <a:r>
            <a:rPr lang="en-US" sz="2000" b="1">
              <a:effectLst/>
              <a:latin typeface="Calibri" panose="020F0502020204030204" pitchFamily="34" charset="0"/>
              <a:ea typeface="Calibri" panose="020F0502020204030204" pitchFamily="34" charset="0"/>
              <a:cs typeface="Times New Roman" panose="02020603050405020304" pitchFamily="18" charset="0"/>
            </a:rPr>
            <a:t>TDHCA WAP Air Infiltration and Duct Sealing Target Policy</a:t>
          </a:r>
          <a:endParaRPr lang="en-US" sz="20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600" b="1" u="sng">
              <a:effectLst/>
              <a:latin typeface="Calibri" panose="020F0502020204030204" pitchFamily="34" charset="0"/>
              <a:ea typeface="Calibri" panose="020F0502020204030204" pitchFamily="34" charset="0"/>
              <a:cs typeface="Times New Roman" panose="02020603050405020304" pitchFamily="18" charset="0"/>
            </a:rPr>
            <a:t>General Guidance for Air Infiltration &amp; Duct Sealing</a:t>
          </a:r>
          <a:endParaRPr lang="en-US" sz="1600" u="sng">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Subrecipients are required to make a reasonable attempt to achieve both air infiltration and duct sealing targets (if applicable).    TDHCA recognizes that at times the calculated targets can be aggressive due to construction variances and access issues and targets may not be achievable in all weatherized units.   For this reason, TDHCA has established a clear written policy for how missed targets will be addressed during the final inspection and monitoring process.</a:t>
          </a:r>
        </a:p>
        <a:p>
          <a:pPr marL="0" marR="0" algn="just">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 </a:t>
          </a:r>
        </a:p>
        <a:p>
          <a:pPr marL="0" marR="0" algn="just">
            <a:lnSpc>
              <a:spcPct val="107000"/>
            </a:lnSpc>
            <a:spcBef>
              <a:spcPts val="0"/>
            </a:spcBef>
            <a:spcAft>
              <a:spcPts val="800"/>
            </a:spcAft>
          </a:pPr>
          <a:r>
            <a:rPr lang="en-US" sz="1600" b="1" u="sng">
              <a:effectLst/>
              <a:latin typeface="Calibri" panose="020F0502020204030204" pitchFamily="34" charset="0"/>
              <a:ea typeface="Calibri" panose="020F0502020204030204" pitchFamily="34" charset="0"/>
              <a:cs typeface="Times New Roman" panose="02020603050405020304" pitchFamily="18" charset="0"/>
            </a:rPr>
            <a:t>Air Infiltration Guidance</a:t>
          </a:r>
          <a:endParaRPr lang="en-US" sz="1600" u="sng">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400" b="1" u="none">
              <a:effectLst/>
              <a:latin typeface="Calibri" panose="020F0502020204030204" pitchFamily="34" charset="0"/>
              <a:ea typeface="Calibri" panose="020F0502020204030204" pitchFamily="34" charset="0"/>
              <a:cs typeface="Times New Roman" panose="02020603050405020304" pitchFamily="18" charset="0"/>
            </a:rPr>
            <a:t>General</a:t>
          </a:r>
          <a:endParaRPr lang="en-US" sz="1400" u="none">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75% of all completed units are required to MEET/EXCEED </a:t>
          </a:r>
          <a:r>
            <a:rPr lang="en-US" sz="1400" b="1" u="sng">
              <a:effectLst/>
              <a:latin typeface="Calibri" panose="020F0502020204030204" pitchFamily="34" charset="0"/>
              <a:ea typeface="Calibri" panose="020F0502020204030204" pitchFamily="34" charset="0"/>
              <a:cs typeface="Times New Roman" panose="02020603050405020304" pitchFamily="18" charset="0"/>
            </a:rPr>
            <a:t>or</a:t>
          </a:r>
          <a:r>
            <a:rPr lang="en-US" sz="1400">
              <a:effectLst/>
              <a:latin typeface="Calibri" panose="020F0502020204030204" pitchFamily="34" charset="0"/>
              <a:ea typeface="Calibri" panose="020F0502020204030204" pitchFamily="34" charset="0"/>
              <a:cs typeface="Times New Roman" panose="02020603050405020304" pitchFamily="18" charset="0"/>
            </a:rPr>
            <a:t> be within a 10% variance of air infiltration targets, i.e. 1,000 CFM target = 1,100 CFM variance.  </a:t>
          </a:r>
        </a:p>
        <a:p>
          <a:pPr marL="0" marR="0" algn="just">
            <a:lnSpc>
              <a:spcPct val="107000"/>
            </a:lnSpc>
            <a:spcBef>
              <a:spcPts val="0"/>
            </a:spcBef>
            <a:spcAft>
              <a:spcPts val="800"/>
            </a:spcAft>
          </a:pPr>
          <a:r>
            <a:rPr lang="en-US" sz="1400" b="1" i="1">
              <a:effectLst/>
              <a:latin typeface="Calibri" panose="020F0502020204030204" pitchFamily="34" charset="0"/>
              <a:ea typeface="Calibri" panose="020F0502020204030204" pitchFamily="34" charset="0"/>
              <a:cs typeface="Times New Roman" panose="02020603050405020304" pitchFamily="18" charset="0"/>
            </a:rPr>
            <a:t>Note - </a:t>
          </a:r>
          <a:r>
            <a:rPr lang="en-US" sz="1400">
              <a:effectLst/>
              <a:latin typeface="Calibri" panose="020F0502020204030204" pitchFamily="34" charset="0"/>
              <a:ea typeface="Calibri" panose="020F0502020204030204" pitchFamily="34" charset="0"/>
              <a:cs typeface="Times New Roman" panose="02020603050405020304" pitchFamily="18" charset="0"/>
            </a:rPr>
            <a:t>At any time the Subrecipient fails to meet the 75% guidance as described above they will be considered out of compliance and must contact their TDHCA assigned WAP trainer for further guidance.   Failure to not meet the 75% requirement and have documented contact with your TDHCA assigned WAP trainer could result in compliance related issues.</a:t>
          </a:r>
        </a:p>
        <a:p>
          <a:pPr marL="0" marR="0" algn="just">
            <a:lnSpc>
              <a:spcPct val="107000"/>
            </a:lnSpc>
            <a:spcBef>
              <a:spcPts val="0"/>
            </a:spcBef>
            <a:spcAft>
              <a:spcPts val="800"/>
            </a:spcAft>
          </a:pPr>
          <a:r>
            <a:rPr lang="en-US" sz="1400" b="1" u="none">
              <a:effectLst/>
              <a:latin typeface="Calibri" panose="020F0502020204030204" pitchFamily="34" charset="0"/>
              <a:ea typeface="Calibri" panose="020F0502020204030204" pitchFamily="34" charset="0"/>
              <a:cs typeface="Times New Roman" panose="02020603050405020304" pitchFamily="18" charset="0"/>
            </a:rPr>
            <a:t>Individual Unit </a:t>
          </a:r>
          <a:endParaRPr lang="en-US" sz="1400" u="none">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In order for a unit to successfully pass final inspection, individual unit(s) must:</a:t>
          </a:r>
        </a:p>
        <a:p>
          <a:pPr marL="342900" marR="0" lvl="0" indent="-342900" algn="just">
            <a:lnSpc>
              <a:spcPct val="107000"/>
            </a:lnSpc>
            <a:spcBef>
              <a:spcPts val="0"/>
            </a:spcBef>
            <a:spcAft>
              <a:spcPts val="0"/>
            </a:spcAft>
            <a:buFont typeface="+mj-lt"/>
            <a:buAutoNum type="arabicPeriod"/>
          </a:pPr>
          <a:r>
            <a:rPr lang="en-US" sz="1400">
              <a:effectLst/>
              <a:latin typeface="Calibri" panose="020F0502020204030204" pitchFamily="34" charset="0"/>
              <a:ea typeface="Calibri" panose="020F0502020204030204" pitchFamily="34" charset="0"/>
              <a:cs typeface="Times New Roman" panose="02020603050405020304" pitchFamily="18" charset="0"/>
            </a:rPr>
            <a:t>Meet or exceed the calculated air infiltration targets. </a:t>
          </a:r>
        </a:p>
        <a:p>
          <a:pPr marL="742950" marR="0" lvl="1" indent="-285750" algn="just">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No additional documentation or information required</a:t>
          </a:r>
        </a:p>
        <a:p>
          <a:pPr marL="342900" marR="0" lvl="0" indent="-342900" algn="just">
            <a:lnSpc>
              <a:spcPct val="107000"/>
            </a:lnSpc>
            <a:spcBef>
              <a:spcPts val="0"/>
            </a:spcBef>
            <a:spcAft>
              <a:spcPts val="0"/>
            </a:spcAft>
            <a:buFont typeface="+mj-lt"/>
            <a:buAutoNum type="arabicPeriod"/>
          </a:pPr>
          <a:r>
            <a:rPr lang="en-US" sz="1400">
              <a:effectLst/>
              <a:latin typeface="Calibri" panose="020F0502020204030204" pitchFamily="34" charset="0"/>
              <a:ea typeface="Calibri" panose="020F0502020204030204" pitchFamily="34" charset="0"/>
              <a:cs typeface="Times New Roman" panose="02020603050405020304" pitchFamily="18" charset="0"/>
            </a:rPr>
            <a:t>Must be within 10% of the calculated target.  </a:t>
          </a:r>
        </a:p>
        <a:p>
          <a:pPr marL="742950" marR="0" lvl="1" indent="-285750" algn="just">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Client file contain reasonable documentation verifying efforts to meet air infiltration targets</a:t>
          </a:r>
        </a:p>
        <a:p>
          <a:pPr marL="342900" marR="0" lvl="0" indent="-342900" algn="just">
            <a:lnSpc>
              <a:spcPct val="107000"/>
            </a:lnSpc>
            <a:spcBef>
              <a:spcPts val="0"/>
            </a:spcBef>
            <a:spcAft>
              <a:spcPts val="0"/>
            </a:spcAft>
            <a:buFont typeface="+mj-lt"/>
            <a:buAutoNum type="arabicPeriod"/>
          </a:pPr>
          <a:r>
            <a:rPr lang="en-US" sz="1400">
              <a:effectLst/>
              <a:latin typeface="Calibri" panose="020F0502020204030204" pitchFamily="34" charset="0"/>
              <a:ea typeface="Calibri" panose="020F0502020204030204" pitchFamily="34" charset="0"/>
              <a:cs typeface="Times New Roman" panose="02020603050405020304" pitchFamily="18" charset="0"/>
            </a:rPr>
            <a:t>Did not meet air infiltration targets.  </a:t>
          </a:r>
        </a:p>
        <a:p>
          <a:pPr marL="742950" marR="0" lvl="1" indent="-285750" algn="just">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Total completed units are within the 75% requirement.</a:t>
          </a:r>
        </a:p>
        <a:p>
          <a:pPr marL="742950" marR="0" lvl="1" indent="-285750" algn="just">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Ensure all major and significant air leakage areas are addressed.</a:t>
          </a:r>
        </a:p>
        <a:p>
          <a:pPr marL="1143000" marR="0" lvl="2" indent="-228600" algn="just">
            <a:lnSpc>
              <a:spcPct val="107000"/>
            </a:lnSpc>
            <a:spcBef>
              <a:spcPts val="0"/>
            </a:spcBef>
            <a:spcAft>
              <a:spcPts val="0"/>
            </a:spcAft>
            <a:buFont typeface="Wingdings" panose="05000000000000000000" pitchFamily="2" charset="2"/>
            <a:buChar char=""/>
          </a:pPr>
          <a:r>
            <a:rPr lang="en-US" sz="1400">
              <a:effectLst/>
              <a:latin typeface="Calibri" panose="020F0502020204030204" pitchFamily="34" charset="0"/>
              <a:ea typeface="Calibri" panose="020F0502020204030204" pitchFamily="34" charset="0"/>
              <a:cs typeface="Times New Roman" panose="02020603050405020304" pitchFamily="18" charset="0"/>
            </a:rPr>
            <a:t>Requires clearly documented Zonal Pressure readings.</a:t>
          </a:r>
        </a:p>
        <a:p>
          <a:pPr marL="742950" marR="0" lvl="1" indent="-285750" algn="just">
            <a:lnSpc>
              <a:spcPct val="107000"/>
            </a:lnSpc>
            <a:spcBef>
              <a:spcPts val="0"/>
            </a:spcBef>
            <a:spcAft>
              <a:spcPts val="80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Client file contain reasonable documentation verifying efforts to meet air infiltration targets.</a:t>
          </a:r>
        </a:p>
        <a:p>
          <a:pPr marL="0" marR="0" algn="just">
            <a:lnSpc>
              <a:spcPct val="107000"/>
            </a:lnSpc>
            <a:spcBef>
              <a:spcPts val="0"/>
            </a:spcBef>
            <a:spcAft>
              <a:spcPts val="800"/>
            </a:spcAft>
          </a:pPr>
          <a:r>
            <a:rPr lang="en-US" sz="1600" b="1" u="sng">
              <a:effectLst/>
              <a:latin typeface="Calibri" panose="020F0502020204030204" pitchFamily="34" charset="0"/>
              <a:ea typeface="Calibri" panose="020F0502020204030204" pitchFamily="34" charset="0"/>
              <a:cs typeface="Times New Roman" panose="02020603050405020304" pitchFamily="18" charset="0"/>
            </a:rPr>
            <a:t>Duct Sealing Guidance</a:t>
          </a:r>
          <a:endParaRPr lang="en-US" sz="1600" u="sng">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400" b="1" u="none">
              <a:effectLst/>
              <a:latin typeface="Calibri" panose="020F0502020204030204" pitchFamily="34" charset="0"/>
              <a:ea typeface="Calibri" panose="020F0502020204030204" pitchFamily="34" charset="0"/>
              <a:cs typeface="Times New Roman" panose="02020603050405020304" pitchFamily="18" charset="0"/>
            </a:rPr>
            <a:t>General</a:t>
          </a:r>
          <a:endParaRPr lang="en-US" sz="1400" u="none">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75% of all completed units are required to MEET/EXCEED </a:t>
          </a:r>
          <a:r>
            <a:rPr lang="en-US" sz="1400" b="1" u="sng">
              <a:effectLst/>
              <a:latin typeface="Calibri" panose="020F0502020204030204" pitchFamily="34" charset="0"/>
              <a:ea typeface="Calibri" panose="020F0502020204030204" pitchFamily="34" charset="0"/>
              <a:cs typeface="Times New Roman" panose="02020603050405020304" pitchFamily="18" charset="0"/>
            </a:rPr>
            <a:t>or</a:t>
          </a:r>
          <a:r>
            <a:rPr lang="en-US" sz="1400">
              <a:effectLst/>
              <a:latin typeface="Calibri" panose="020F0502020204030204" pitchFamily="34" charset="0"/>
              <a:ea typeface="Calibri" panose="020F0502020204030204" pitchFamily="34" charset="0"/>
              <a:cs typeface="Times New Roman" panose="02020603050405020304" pitchFamily="18" charset="0"/>
            </a:rPr>
            <a:t> be within a 10% variance of duct sealing leakage to outside targets, i.e. 100 CFM target = 110 CFM variance.  </a:t>
          </a:r>
        </a:p>
        <a:p>
          <a:pPr marL="0" marR="0" algn="just">
            <a:lnSpc>
              <a:spcPct val="107000"/>
            </a:lnSpc>
            <a:spcBef>
              <a:spcPts val="0"/>
            </a:spcBef>
            <a:spcAft>
              <a:spcPts val="800"/>
            </a:spcAft>
          </a:pPr>
          <a:r>
            <a:rPr lang="en-US" sz="1400" b="1" i="1">
              <a:effectLst/>
              <a:latin typeface="Calibri" panose="020F0502020204030204" pitchFamily="34" charset="0"/>
              <a:ea typeface="Calibri" panose="020F0502020204030204" pitchFamily="34" charset="0"/>
              <a:cs typeface="Times New Roman" panose="02020603050405020304" pitchFamily="18" charset="0"/>
            </a:rPr>
            <a:t>Note - </a:t>
          </a:r>
          <a:r>
            <a:rPr lang="en-US" sz="1400">
              <a:effectLst/>
              <a:latin typeface="Calibri" panose="020F0502020204030204" pitchFamily="34" charset="0"/>
              <a:ea typeface="Calibri" panose="020F0502020204030204" pitchFamily="34" charset="0"/>
              <a:cs typeface="Times New Roman" panose="02020603050405020304" pitchFamily="18" charset="0"/>
            </a:rPr>
            <a:t>At any time the Subrecipient fails to meet the 75% guidance as described above they will be considered out of compliance and must contact their TDHCA assigned WAP trainer for further guidance.   Failure to not meet the 75% requirement and have documented contact with your TDHCA assigned WAP trainer could result in compliance related issues.</a:t>
          </a:r>
        </a:p>
        <a:p>
          <a:pPr marL="0" marR="0" algn="just">
            <a:lnSpc>
              <a:spcPct val="107000"/>
            </a:lnSpc>
            <a:spcBef>
              <a:spcPts val="0"/>
            </a:spcBef>
            <a:spcAft>
              <a:spcPts val="800"/>
            </a:spcAft>
          </a:pPr>
          <a:r>
            <a:rPr lang="en-US" sz="1400" b="1" u="none">
              <a:effectLst/>
              <a:latin typeface="Calibri" panose="020F0502020204030204" pitchFamily="34" charset="0"/>
              <a:ea typeface="Calibri" panose="020F0502020204030204" pitchFamily="34" charset="0"/>
              <a:cs typeface="Times New Roman" panose="02020603050405020304" pitchFamily="18" charset="0"/>
            </a:rPr>
            <a:t>Individual Unit </a:t>
          </a:r>
          <a:endParaRPr lang="en-US" sz="1400" u="none">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In order for a unit to successfully pass final inspection, individual unit(s) must:</a:t>
          </a:r>
        </a:p>
        <a:p>
          <a:pPr marL="342900" marR="0" lvl="0" indent="-342900" algn="just">
            <a:lnSpc>
              <a:spcPct val="107000"/>
            </a:lnSpc>
            <a:spcBef>
              <a:spcPts val="0"/>
            </a:spcBef>
            <a:spcAft>
              <a:spcPts val="0"/>
            </a:spcAft>
            <a:buFont typeface="+mj-lt"/>
            <a:buAutoNum type="arabicPeriod"/>
          </a:pPr>
          <a:r>
            <a:rPr lang="en-US" sz="1400">
              <a:effectLst/>
              <a:latin typeface="Calibri" panose="020F0502020204030204" pitchFamily="34" charset="0"/>
              <a:ea typeface="Calibri" panose="020F0502020204030204" pitchFamily="34" charset="0"/>
              <a:cs typeface="Times New Roman" panose="02020603050405020304" pitchFamily="18" charset="0"/>
            </a:rPr>
            <a:t>Meet or exceed the calculated duct sealing targets and have a pressure pan reading of 1 Pa or less per duct. </a:t>
          </a:r>
        </a:p>
        <a:p>
          <a:pPr marL="742950" marR="0" lvl="1" indent="-285750" algn="just">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No additional documentation or information required.</a:t>
          </a:r>
        </a:p>
        <a:p>
          <a:pPr marL="342900" marR="0" lvl="0" indent="-342900" algn="just">
            <a:lnSpc>
              <a:spcPct val="107000"/>
            </a:lnSpc>
            <a:spcBef>
              <a:spcPts val="0"/>
            </a:spcBef>
            <a:spcAft>
              <a:spcPts val="0"/>
            </a:spcAft>
            <a:buFont typeface="+mj-lt"/>
            <a:buAutoNum type="arabicPeriod"/>
          </a:pPr>
          <a:r>
            <a:rPr lang="en-US" sz="1400">
              <a:effectLst/>
              <a:latin typeface="Calibri" panose="020F0502020204030204" pitchFamily="34" charset="0"/>
              <a:ea typeface="Calibri" panose="020F0502020204030204" pitchFamily="34" charset="0"/>
              <a:cs typeface="Times New Roman" panose="02020603050405020304" pitchFamily="18" charset="0"/>
            </a:rPr>
            <a:t>Must be within 10% of the calculated target and have a pressure pan reading of 1 Pa or less per duct.  </a:t>
          </a:r>
        </a:p>
        <a:p>
          <a:pPr marL="742950" marR="0" lvl="1" indent="-285750" algn="just">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Client file contain reasonable documentation verifying efforts to meet duct sealing targets.</a:t>
          </a:r>
        </a:p>
        <a:p>
          <a:pPr marL="342900" marR="0" lvl="0" indent="-342900" algn="just">
            <a:lnSpc>
              <a:spcPct val="107000"/>
            </a:lnSpc>
            <a:spcBef>
              <a:spcPts val="0"/>
            </a:spcBef>
            <a:spcAft>
              <a:spcPts val="0"/>
            </a:spcAft>
            <a:buFont typeface="+mj-lt"/>
            <a:buAutoNum type="arabicPeriod"/>
          </a:pPr>
          <a:r>
            <a:rPr lang="en-US" sz="1400">
              <a:effectLst/>
              <a:latin typeface="Calibri" panose="020F0502020204030204" pitchFamily="34" charset="0"/>
              <a:ea typeface="Calibri" panose="020F0502020204030204" pitchFamily="34" charset="0"/>
              <a:cs typeface="Times New Roman" panose="02020603050405020304" pitchFamily="18" charset="0"/>
            </a:rPr>
            <a:t>Did not meet duct sealing targets.  </a:t>
          </a:r>
        </a:p>
        <a:p>
          <a:pPr marL="742950" marR="0" lvl="1" indent="-285750" algn="just">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Total completed units are within the 75% requirement.</a:t>
          </a:r>
        </a:p>
        <a:p>
          <a:pPr marL="742950" marR="0" lvl="1" indent="-285750" algn="just">
            <a:lnSpc>
              <a:spcPct val="107000"/>
            </a:lnSpc>
            <a:spcBef>
              <a:spcPts val="0"/>
            </a:spcBef>
            <a:spcAft>
              <a:spcPts val="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Ensure all major and significant duct leakage areas are addressed.</a:t>
          </a:r>
        </a:p>
        <a:p>
          <a:pPr marL="1143000" marR="0" lvl="2" indent="-228600" algn="just">
            <a:lnSpc>
              <a:spcPct val="107000"/>
            </a:lnSpc>
            <a:spcBef>
              <a:spcPts val="0"/>
            </a:spcBef>
            <a:spcAft>
              <a:spcPts val="0"/>
            </a:spcAft>
            <a:buFont typeface="Wingdings" panose="05000000000000000000" pitchFamily="2" charset="2"/>
            <a:buChar char=""/>
          </a:pPr>
          <a:r>
            <a:rPr lang="en-US" sz="1400">
              <a:effectLst/>
              <a:latin typeface="Calibri" panose="020F0502020204030204" pitchFamily="34" charset="0"/>
              <a:ea typeface="Calibri" panose="020F0502020204030204" pitchFamily="34" charset="0"/>
              <a:cs typeface="Times New Roman" panose="02020603050405020304" pitchFamily="18" charset="0"/>
            </a:rPr>
            <a:t>Requires clearly documented Pressure Pan Readings for each duct.</a:t>
          </a:r>
        </a:p>
        <a:p>
          <a:pPr marL="742950" marR="0" lvl="1" indent="-285750" algn="just">
            <a:lnSpc>
              <a:spcPct val="107000"/>
            </a:lnSpc>
            <a:spcBef>
              <a:spcPts val="0"/>
            </a:spcBef>
            <a:spcAft>
              <a:spcPts val="800"/>
            </a:spcAft>
            <a:buFont typeface="Courier New" panose="02070309020205020404" pitchFamily="49" charset="0"/>
            <a:buChar char="o"/>
          </a:pPr>
          <a:r>
            <a:rPr lang="en-US" sz="1400">
              <a:effectLst/>
              <a:latin typeface="Calibri" panose="020F0502020204030204" pitchFamily="34" charset="0"/>
              <a:ea typeface="Calibri" panose="020F0502020204030204" pitchFamily="34" charset="0"/>
              <a:cs typeface="Times New Roman" panose="02020603050405020304" pitchFamily="18" charset="0"/>
            </a:rPr>
            <a:t>Client file contain reasonable documentation verifying efforts to meet duct sealing targets.</a:t>
          </a:r>
        </a:p>
        <a:p>
          <a:pPr marL="0" marR="0" algn="just">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 </a:t>
          </a:r>
        </a:p>
        <a:p>
          <a:endParaRPr lang="en-US" sz="14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6"/>
  <sheetViews>
    <sheetView tabSelected="1" zoomScale="160" zoomScaleNormal="160" workbookViewId="0">
      <selection activeCell="G19" sqref="G19"/>
    </sheetView>
  </sheetViews>
  <sheetFormatPr defaultColWidth="0" defaultRowHeight="12.75" zeroHeight="1" x14ac:dyDescent="0.2"/>
  <cols>
    <col min="1" max="12" width="6.5703125" style="1" customWidth="1"/>
    <col min="13" max="13" width="7.85546875" style="1" customWidth="1"/>
    <col min="14" max="25" width="0" style="1" hidden="1" customWidth="1"/>
    <col min="26" max="16384" width="9.140625" style="1" hidden="1"/>
  </cols>
  <sheetData>
    <row r="1" spans="1:13" x14ac:dyDescent="0.2">
      <c r="A1" s="7" t="s">
        <v>0</v>
      </c>
      <c r="B1" s="8"/>
      <c r="C1" s="8"/>
      <c r="D1" s="8"/>
      <c r="E1" s="8"/>
      <c r="F1" s="8"/>
      <c r="G1" s="9" t="s">
        <v>1</v>
      </c>
      <c r="H1" s="8"/>
      <c r="I1" s="8"/>
      <c r="J1" s="8"/>
      <c r="K1" s="8"/>
      <c r="L1" s="8"/>
      <c r="M1" s="8"/>
    </row>
    <row r="2" spans="1:13" ht="15.75" x14ac:dyDescent="0.25">
      <c r="A2" s="10"/>
      <c r="B2" s="11"/>
      <c r="C2" s="11"/>
      <c r="D2" s="11"/>
      <c r="E2" s="11"/>
      <c r="F2" s="11"/>
      <c r="G2" s="12" t="s">
        <v>95</v>
      </c>
      <c r="H2" s="11"/>
      <c r="I2" s="11"/>
      <c r="J2" s="11"/>
      <c r="K2" s="11"/>
      <c r="L2" s="11"/>
      <c r="M2" s="11"/>
    </row>
    <row r="3" spans="1:13" x14ac:dyDescent="0.2">
      <c r="A3" s="10"/>
      <c r="B3" s="10"/>
      <c r="C3" s="10"/>
      <c r="D3" s="10"/>
      <c r="E3" s="10"/>
      <c r="F3" s="10"/>
      <c r="G3" s="10"/>
      <c r="H3" s="10"/>
      <c r="I3" s="10"/>
      <c r="J3" s="10"/>
      <c r="K3" s="10"/>
      <c r="L3" s="10"/>
      <c r="M3" s="10"/>
    </row>
    <row r="4" spans="1:13" x14ac:dyDescent="0.2">
      <c r="A4" s="13" t="s">
        <v>2</v>
      </c>
      <c r="B4" s="14"/>
      <c r="C4" s="121"/>
      <c r="D4" s="121"/>
      <c r="E4" s="121"/>
      <c r="F4" s="121"/>
      <c r="G4" s="121"/>
      <c r="H4" s="121"/>
      <c r="I4" s="13" t="s">
        <v>3</v>
      </c>
      <c r="J4" s="120"/>
      <c r="K4" s="120"/>
      <c r="L4" s="120"/>
      <c r="M4" s="120"/>
    </row>
    <row r="5" spans="1:13" x14ac:dyDescent="0.2">
      <c r="A5" s="10"/>
      <c r="B5" s="10"/>
      <c r="C5" s="10"/>
      <c r="D5" s="10"/>
      <c r="E5" s="10"/>
      <c r="F5" s="10"/>
      <c r="G5" s="10"/>
      <c r="H5" s="10"/>
      <c r="I5" s="10"/>
      <c r="J5" s="10"/>
      <c r="K5" s="10"/>
      <c r="L5" s="10"/>
      <c r="M5" s="10"/>
    </row>
    <row r="6" spans="1:13" x14ac:dyDescent="0.2">
      <c r="A6" s="15" t="s">
        <v>4</v>
      </c>
      <c r="B6" s="16"/>
      <c r="C6" s="3"/>
      <c r="D6" s="16"/>
      <c r="E6" s="13" t="s">
        <v>5</v>
      </c>
      <c r="F6" s="8"/>
      <c r="G6" s="10"/>
      <c r="H6" s="6"/>
      <c r="I6" s="13" t="s">
        <v>6</v>
      </c>
      <c r="J6" s="8"/>
      <c r="K6" s="67" t="str">
        <f>Sheet3!M1</f>
        <v/>
      </c>
      <c r="L6" s="17" t="s">
        <v>7</v>
      </c>
      <c r="M6" s="18" t="str">
        <f>Sheet3!O1</f>
        <v/>
      </c>
    </row>
    <row r="7" spans="1:13" x14ac:dyDescent="0.2">
      <c r="A7" s="19"/>
      <c r="B7" s="19"/>
      <c r="C7" s="19"/>
      <c r="D7" s="19"/>
      <c r="E7" s="19"/>
      <c r="F7" s="19"/>
      <c r="G7" s="20" t="s">
        <v>8</v>
      </c>
      <c r="H7" s="19"/>
      <c r="I7" s="19"/>
      <c r="J7" s="19"/>
      <c r="K7" s="19"/>
      <c r="L7" s="19"/>
      <c r="M7" s="19"/>
    </row>
    <row r="8" spans="1:13" s="72" customFormat="1" x14ac:dyDescent="0.2">
      <c r="A8" s="75"/>
      <c r="B8" s="69"/>
      <c r="C8" s="68"/>
      <c r="D8" s="75"/>
      <c r="E8" s="70"/>
      <c r="F8" s="68"/>
      <c r="G8" s="75"/>
      <c r="H8" s="68"/>
      <c r="I8" s="75"/>
      <c r="J8" s="70"/>
      <c r="K8" s="68"/>
      <c r="L8" s="68"/>
      <c r="M8" s="71" t="s">
        <v>9</v>
      </c>
    </row>
    <row r="9" spans="1:13" x14ac:dyDescent="0.2">
      <c r="A9" s="13" t="s">
        <v>10</v>
      </c>
      <c r="B9" s="8"/>
      <c r="C9" s="8"/>
      <c r="D9" s="8"/>
      <c r="E9" s="5"/>
      <c r="F9" s="22"/>
      <c r="G9" s="9" t="s">
        <v>12</v>
      </c>
      <c r="H9" s="3"/>
      <c r="I9" s="10" t="s">
        <v>13</v>
      </c>
      <c r="J9" s="8" t="s">
        <v>14</v>
      </c>
      <c r="K9" s="8"/>
      <c r="L9" s="2"/>
      <c r="M9" s="73" t="str">
        <f>Sheet3!V10</f>
        <v/>
      </c>
    </row>
    <row r="10" spans="1:13" x14ac:dyDescent="0.2">
      <c r="A10" s="10"/>
      <c r="B10" s="10"/>
      <c r="C10" s="10"/>
      <c r="D10" s="21"/>
      <c r="E10" s="23"/>
      <c r="F10" s="21"/>
      <c r="G10" s="21"/>
      <c r="H10" s="21"/>
      <c r="I10" s="21"/>
      <c r="J10" s="23"/>
      <c r="K10" s="24"/>
      <c r="L10" s="25"/>
      <c r="M10" s="26"/>
    </row>
    <row r="11" spans="1:13" x14ac:dyDescent="0.2">
      <c r="A11" s="13" t="s">
        <v>15</v>
      </c>
      <c r="B11" s="8"/>
      <c r="C11" s="8"/>
      <c r="D11" s="8"/>
      <c r="E11" s="5"/>
      <c r="F11" s="22" t="s">
        <v>11</v>
      </c>
      <c r="G11" s="9" t="s">
        <v>12</v>
      </c>
      <c r="H11" s="3"/>
      <c r="I11" s="10" t="s">
        <v>13</v>
      </c>
      <c r="J11" s="8" t="s">
        <v>16</v>
      </c>
      <c r="K11" s="8"/>
      <c r="L11" s="2"/>
      <c r="M11" s="74" t="str">
        <f>IF(E11&gt;1,(C6*0.12),IF(E11&lt;1,""))</f>
        <v/>
      </c>
    </row>
    <row r="12" spans="1:13" x14ac:dyDescent="0.2">
      <c r="A12" s="10"/>
      <c r="B12" s="10"/>
      <c r="C12" s="10"/>
      <c r="D12" s="10"/>
      <c r="E12" s="28"/>
      <c r="F12" s="9"/>
      <c r="G12" s="10"/>
      <c r="H12" s="28"/>
      <c r="I12" s="10"/>
      <c r="J12" s="10"/>
      <c r="K12" s="10"/>
      <c r="L12" s="9"/>
      <c r="M12" s="29"/>
    </row>
    <row r="13" spans="1:13" x14ac:dyDescent="0.2">
      <c r="A13" s="13" t="s">
        <v>17</v>
      </c>
      <c r="B13" s="8"/>
      <c r="C13" s="8"/>
      <c r="D13" s="8"/>
      <c r="E13" s="5"/>
      <c r="F13" s="22" t="s">
        <v>11</v>
      </c>
      <c r="G13" s="9" t="s">
        <v>12</v>
      </c>
      <c r="H13" s="3"/>
      <c r="I13" s="10" t="s">
        <v>13</v>
      </c>
      <c r="J13" s="8" t="s">
        <v>16</v>
      </c>
      <c r="K13" s="8"/>
      <c r="L13" s="2"/>
      <c r="M13" s="74" t="str">
        <f>IF(E13&gt;0,(C6*0.08),IF(E13&lt;1,""))</f>
        <v/>
      </c>
    </row>
    <row r="14" spans="1:13" x14ac:dyDescent="0.2">
      <c r="A14" s="10"/>
      <c r="B14" s="10"/>
      <c r="C14" s="10"/>
      <c r="D14" s="10"/>
      <c r="E14" s="10"/>
      <c r="F14" s="10"/>
      <c r="G14" s="10"/>
      <c r="H14" s="10"/>
      <c r="I14" s="10"/>
      <c r="J14" s="10"/>
      <c r="K14" s="10"/>
      <c r="L14" s="10"/>
      <c r="M14" s="10"/>
    </row>
    <row r="15" spans="1:13" x14ac:dyDescent="0.2">
      <c r="A15" s="105" t="s">
        <v>18</v>
      </c>
      <c r="B15" s="106"/>
      <c r="C15" s="106"/>
      <c r="D15" s="106"/>
      <c r="E15" s="106"/>
      <c r="F15" s="106"/>
      <c r="G15" s="8" t="s">
        <v>19</v>
      </c>
      <c r="H15" s="4"/>
      <c r="I15" s="30"/>
      <c r="J15" s="8" t="s">
        <v>20</v>
      </c>
      <c r="K15" s="4"/>
      <c r="L15" s="30"/>
      <c r="M15" s="15"/>
    </row>
    <row r="16" spans="1:13" x14ac:dyDescent="0.2">
      <c r="A16" s="31" t="s">
        <v>21</v>
      </c>
      <c r="B16" s="32"/>
      <c r="C16" s="32"/>
      <c r="D16" s="32"/>
      <c r="E16" s="32"/>
      <c r="F16" s="32"/>
      <c r="G16" s="32"/>
      <c r="H16" s="32"/>
      <c r="I16" s="32"/>
      <c r="J16" s="32"/>
      <c r="K16" s="32"/>
      <c r="L16" s="32"/>
      <c r="M16" s="32"/>
    </row>
    <row r="17" spans="1:13" x14ac:dyDescent="0.2">
      <c r="A17" s="33"/>
      <c r="B17" s="33"/>
      <c r="C17" s="33"/>
      <c r="D17" s="33"/>
      <c r="E17" s="33"/>
      <c r="F17" s="33"/>
      <c r="G17" s="33"/>
      <c r="H17" s="33"/>
      <c r="I17" s="33"/>
      <c r="J17" s="33"/>
      <c r="K17" s="33"/>
      <c r="L17" s="33"/>
      <c r="M17" s="33"/>
    </row>
    <row r="18" spans="1:13" x14ac:dyDescent="0.2">
      <c r="A18" s="15" t="s">
        <v>22</v>
      </c>
      <c r="B18" s="32"/>
      <c r="C18" s="32"/>
      <c r="D18" s="32"/>
      <c r="E18" s="32"/>
      <c r="F18" s="32"/>
      <c r="G18" s="32"/>
      <c r="H18" s="32"/>
      <c r="I18" s="32"/>
      <c r="J18" s="34" t="s">
        <v>23</v>
      </c>
      <c r="K18" s="32"/>
      <c r="L18" s="32"/>
      <c r="M18" s="35"/>
    </row>
    <row r="19" spans="1:13" ht="31.5" customHeight="1" x14ac:dyDescent="0.2">
      <c r="A19" s="66" t="s">
        <v>24</v>
      </c>
      <c r="B19" s="65" t="s">
        <v>25</v>
      </c>
      <c r="C19" s="65" t="s">
        <v>26</v>
      </c>
      <c r="D19" s="65" t="s">
        <v>27</v>
      </c>
      <c r="E19" s="65" t="s">
        <v>28</v>
      </c>
      <c r="F19" s="65" t="s">
        <v>29</v>
      </c>
      <c r="G19" s="65" t="s">
        <v>30</v>
      </c>
      <c r="H19" s="65" t="s">
        <v>31</v>
      </c>
      <c r="I19" s="10"/>
      <c r="J19" s="36"/>
      <c r="K19" s="64" t="s">
        <v>32</v>
      </c>
      <c r="L19" s="64" t="s">
        <v>33</v>
      </c>
      <c r="M19" s="64" t="s">
        <v>34</v>
      </c>
    </row>
    <row r="20" spans="1:13" x14ac:dyDescent="0.2">
      <c r="A20" s="59"/>
      <c r="B20" s="59"/>
      <c r="C20" s="59"/>
      <c r="D20" s="59"/>
      <c r="E20" s="59"/>
      <c r="F20" s="59"/>
      <c r="G20" s="59"/>
      <c r="H20" s="59"/>
      <c r="I20" s="10"/>
      <c r="J20" s="108" t="s">
        <v>92</v>
      </c>
      <c r="K20" s="62"/>
      <c r="L20" s="61"/>
      <c r="M20" s="61"/>
    </row>
    <row r="21" spans="1:13" x14ac:dyDescent="0.2">
      <c r="A21" s="58" t="s">
        <v>35</v>
      </c>
      <c r="B21" s="58" t="s">
        <v>36</v>
      </c>
      <c r="C21" s="58" t="s">
        <v>37</v>
      </c>
      <c r="D21" s="58" t="s">
        <v>38</v>
      </c>
      <c r="E21" s="58" t="s">
        <v>39</v>
      </c>
      <c r="F21" s="58" t="s">
        <v>40</v>
      </c>
      <c r="G21" s="58" t="s">
        <v>41</v>
      </c>
      <c r="H21" s="60" t="s">
        <v>71</v>
      </c>
      <c r="I21" s="10"/>
      <c r="J21" s="108" t="s">
        <v>90</v>
      </c>
      <c r="K21" s="62"/>
      <c r="L21" s="61"/>
      <c r="M21" s="61"/>
    </row>
    <row r="22" spans="1:13" x14ac:dyDescent="0.2">
      <c r="A22" s="59"/>
      <c r="B22" s="59"/>
      <c r="C22" s="59"/>
      <c r="D22" s="59"/>
      <c r="E22" s="59"/>
      <c r="F22" s="59"/>
      <c r="G22" s="59"/>
      <c r="H22" s="61"/>
      <c r="I22" s="10"/>
      <c r="J22" s="109" t="s">
        <v>91</v>
      </c>
      <c r="K22" s="62"/>
      <c r="L22" s="61"/>
      <c r="M22" s="61"/>
    </row>
    <row r="23" spans="1:13" x14ac:dyDescent="0.2">
      <c r="A23" s="58" t="s">
        <v>72</v>
      </c>
      <c r="B23" s="58" t="s">
        <v>73</v>
      </c>
      <c r="C23" s="58" t="s">
        <v>74</v>
      </c>
      <c r="D23" s="58" t="s">
        <v>75</v>
      </c>
      <c r="E23" s="58" t="s">
        <v>76</v>
      </c>
      <c r="F23" s="58" t="s">
        <v>77</v>
      </c>
      <c r="G23" s="58" t="s">
        <v>78</v>
      </c>
      <c r="H23" s="39" t="s">
        <v>42</v>
      </c>
      <c r="I23" s="10"/>
      <c r="J23" s="109" t="s">
        <v>93</v>
      </c>
      <c r="K23" s="62"/>
      <c r="L23" s="61"/>
      <c r="M23" s="61"/>
    </row>
    <row r="24" spans="1:13" x14ac:dyDescent="0.2">
      <c r="A24" s="61"/>
      <c r="B24" s="61"/>
      <c r="C24" s="61"/>
      <c r="D24" s="61"/>
      <c r="E24" s="61"/>
      <c r="F24" s="61"/>
      <c r="G24" s="61"/>
      <c r="H24" s="40">
        <f>SUM(A20:H20,A22:H22,A24:G24)</f>
        <v>0</v>
      </c>
      <c r="I24" s="10"/>
      <c r="J24" s="103" t="s">
        <v>89</v>
      </c>
      <c r="K24" s="104"/>
      <c r="L24" s="111"/>
      <c r="M24" s="41"/>
    </row>
    <row r="25" spans="1:13" x14ac:dyDescent="0.2">
      <c r="A25" s="10"/>
      <c r="B25" s="10"/>
      <c r="C25" s="10"/>
      <c r="D25" s="10"/>
      <c r="E25" s="10"/>
      <c r="F25" s="10"/>
      <c r="G25" s="10"/>
      <c r="H25" s="42"/>
      <c r="I25" s="10"/>
      <c r="J25" s="107" t="s">
        <v>43</v>
      </c>
      <c r="K25" s="43"/>
      <c r="L25" s="111"/>
      <c r="M25" s="44"/>
    </row>
    <row r="26" spans="1:13" ht="25.15" customHeight="1" x14ac:dyDescent="0.2">
      <c r="A26" s="10"/>
      <c r="B26" s="10"/>
      <c r="C26" s="10"/>
      <c r="D26" s="10"/>
      <c r="E26" s="10"/>
      <c r="F26" s="10"/>
      <c r="G26" s="10"/>
      <c r="H26" s="42"/>
      <c r="I26" s="10"/>
      <c r="J26" s="130" t="s">
        <v>94</v>
      </c>
      <c r="K26" s="131"/>
      <c r="L26" s="111"/>
      <c r="M26" s="110"/>
    </row>
    <row r="27" spans="1:13" x14ac:dyDescent="0.2">
      <c r="A27" s="19"/>
      <c r="B27" s="19"/>
      <c r="C27" s="19"/>
      <c r="D27" s="19"/>
      <c r="E27" s="19"/>
      <c r="F27" s="19"/>
      <c r="G27" s="20" t="s">
        <v>44</v>
      </c>
      <c r="H27" s="19"/>
      <c r="I27" s="19"/>
      <c r="J27" s="19"/>
      <c r="K27" s="19"/>
      <c r="L27" s="19"/>
      <c r="M27" s="19"/>
    </row>
    <row r="28" spans="1:13" ht="12.75" customHeight="1" x14ac:dyDescent="0.2">
      <c r="A28" s="10"/>
      <c r="B28" s="10"/>
      <c r="C28" s="10"/>
      <c r="D28" s="10"/>
      <c r="E28" s="10"/>
      <c r="F28" s="10"/>
      <c r="G28" s="10"/>
      <c r="H28" s="10"/>
      <c r="I28" s="10"/>
      <c r="J28" s="10"/>
      <c r="K28" s="10"/>
      <c r="L28" s="9"/>
      <c r="M28" s="45" t="s">
        <v>70</v>
      </c>
    </row>
    <row r="29" spans="1:13" x14ac:dyDescent="0.2">
      <c r="A29" s="13" t="s">
        <v>45</v>
      </c>
      <c r="B29" s="8"/>
      <c r="C29" s="8"/>
      <c r="D29" s="8"/>
      <c r="E29" s="5">
        <v>0</v>
      </c>
      <c r="F29" s="22" t="s">
        <v>11</v>
      </c>
      <c r="G29" s="9" t="s">
        <v>12</v>
      </c>
      <c r="H29" s="3"/>
      <c r="I29" s="10" t="s">
        <v>13</v>
      </c>
      <c r="J29" s="8" t="s">
        <v>14</v>
      </c>
      <c r="K29" s="8"/>
      <c r="L29" s="2"/>
      <c r="M29" s="46" t="str">
        <f>IF(E9&gt;1,(E9-E29)/E9,"")</f>
        <v/>
      </c>
    </row>
    <row r="30" spans="1:13" x14ac:dyDescent="0.2">
      <c r="A30" s="10"/>
      <c r="B30" s="10"/>
      <c r="C30" s="10"/>
      <c r="D30" s="10"/>
      <c r="E30" s="28"/>
      <c r="F30" s="9"/>
      <c r="G30" s="10"/>
      <c r="H30" s="28"/>
      <c r="I30" s="10"/>
      <c r="J30" s="10"/>
      <c r="K30" s="10"/>
      <c r="L30" s="9"/>
      <c r="M30" s="47"/>
    </row>
    <row r="31" spans="1:13" x14ac:dyDescent="0.2">
      <c r="A31" s="13" t="s">
        <v>46</v>
      </c>
      <c r="B31" s="8"/>
      <c r="C31" s="8"/>
      <c r="D31" s="8"/>
      <c r="E31" s="5">
        <v>0</v>
      </c>
      <c r="F31" s="22" t="s">
        <v>11</v>
      </c>
      <c r="G31" s="9" t="s">
        <v>12</v>
      </c>
      <c r="H31" s="3"/>
      <c r="I31" s="10" t="s">
        <v>13</v>
      </c>
      <c r="J31" s="8" t="s">
        <v>16</v>
      </c>
      <c r="K31" s="8"/>
      <c r="L31" s="2"/>
      <c r="M31" s="46" t="str">
        <f>IF(E11&gt;1,(E11-E31)/E11,"")</f>
        <v/>
      </c>
    </row>
    <row r="32" spans="1:13" x14ac:dyDescent="0.2">
      <c r="A32" s="10"/>
      <c r="B32" s="10"/>
      <c r="C32" s="10"/>
      <c r="D32" s="10"/>
      <c r="E32" s="28"/>
      <c r="F32" s="9"/>
      <c r="G32" s="10"/>
      <c r="H32" s="28"/>
      <c r="I32" s="10"/>
      <c r="J32" s="10"/>
      <c r="K32" s="10"/>
      <c r="L32" s="9"/>
      <c r="M32" s="47"/>
    </row>
    <row r="33" spans="1:13" x14ac:dyDescent="0.2">
      <c r="A33" s="13" t="s">
        <v>47</v>
      </c>
      <c r="B33" s="8"/>
      <c r="C33" s="8"/>
      <c r="D33" s="8"/>
      <c r="E33" s="5">
        <v>0</v>
      </c>
      <c r="F33" s="22" t="s">
        <v>11</v>
      </c>
      <c r="G33" s="9" t="s">
        <v>12</v>
      </c>
      <c r="H33" s="3"/>
      <c r="I33" s="10" t="s">
        <v>13</v>
      </c>
      <c r="J33" s="8" t="s">
        <v>16</v>
      </c>
      <c r="K33" s="8"/>
      <c r="L33" s="2"/>
      <c r="M33" s="46" t="str">
        <f>IF(E13&gt;1,(E13-E33)/E13,"")</f>
        <v/>
      </c>
    </row>
    <row r="34" spans="1:13" x14ac:dyDescent="0.2">
      <c r="A34" s="10"/>
      <c r="B34" s="10"/>
      <c r="C34" s="10"/>
      <c r="D34" s="10"/>
      <c r="E34" s="10"/>
      <c r="F34" s="10"/>
      <c r="G34" s="10"/>
      <c r="H34" s="10"/>
      <c r="I34" s="10"/>
      <c r="J34" s="10"/>
      <c r="K34" s="10"/>
      <c r="L34" s="10"/>
      <c r="M34" s="10"/>
    </row>
    <row r="35" spans="1:13" x14ac:dyDescent="0.2">
      <c r="A35" s="105" t="s">
        <v>48</v>
      </c>
      <c r="B35" s="106"/>
      <c r="C35" s="106"/>
      <c r="D35" s="106"/>
      <c r="E35" s="106"/>
      <c r="F35" s="106"/>
      <c r="G35" s="8" t="s">
        <v>19</v>
      </c>
      <c r="H35" s="4"/>
      <c r="I35" s="30"/>
      <c r="J35" s="8" t="s">
        <v>20</v>
      </c>
      <c r="K35" s="4"/>
      <c r="L35" s="30"/>
      <c r="M35" s="15"/>
    </row>
    <row r="36" spans="1:13" x14ac:dyDescent="0.2">
      <c r="A36" s="33"/>
      <c r="B36" s="33"/>
      <c r="C36" s="33"/>
      <c r="D36" s="33"/>
      <c r="E36" s="33"/>
      <c r="F36" s="33"/>
      <c r="G36" s="33"/>
      <c r="H36" s="33"/>
      <c r="I36" s="33"/>
      <c r="J36" s="33"/>
      <c r="K36" s="33"/>
      <c r="L36" s="33"/>
      <c r="M36" s="33"/>
    </row>
    <row r="37" spans="1:13" x14ac:dyDescent="0.2">
      <c r="A37" s="15" t="s">
        <v>49</v>
      </c>
      <c r="B37" s="32"/>
      <c r="C37" s="32"/>
      <c r="D37" s="32"/>
      <c r="E37" s="32"/>
      <c r="F37" s="32"/>
      <c r="G37" s="32"/>
      <c r="H37" s="32"/>
      <c r="I37" s="32"/>
      <c r="J37" s="15" t="s">
        <v>50</v>
      </c>
      <c r="K37" s="32"/>
      <c r="L37" s="32"/>
      <c r="M37" s="35"/>
    </row>
    <row r="38" spans="1:13" ht="25.5" x14ac:dyDescent="0.2">
      <c r="A38" s="65" t="str">
        <f>A19</f>
        <v>Return</v>
      </c>
      <c r="B38" s="65" t="str">
        <f t="shared" ref="B38:H38" si="0">B19</f>
        <v>Reg 1</v>
      </c>
      <c r="C38" s="65" t="str">
        <f t="shared" si="0"/>
        <v>Reg 2</v>
      </c>
      <c r="D38" s="65" t="str">
        <f t="shared" si="0"/>
        <v>Reg 3</v>
      </c>
      <c r="E38" s="65" t="str">
        <f t="shared" si="0"/>
        <v>Reg 4</v>
      </c>
      <c r="F38" s="65" t="str">
        <f t="shared" si="0"/>
        <v>Reg 5</v>
      </c>
      <c r="G38" s="65" t="str">
        <f t="shared" si="0"/>
        <v>Reg 6</v>
      </c>
      <c r="H38" s="65" t="str">
        <f t="shared" si="0"/>
        <v>Reg 7</v>
      </c>
      <c r="I38" s="10"/>
      <c r="J38" s="36"/>
      <c r="K38" s="37" t="s">
        <v>32</v>
      </c>
      <c r="L38" s="37" t="s">
        <v>33</v>
      </c>
      <c r="M38" s="38" t="s">
        <v>34</v>
      </c>
    </row>
    <row r="39" spans="1:13" x14ac:dyDescent="0.2">
      <c r="A39" s="59"/>
      <c r="B39" s="59"/>
      <c r="C39" s="59"/>
      <c r="D39" s="59"/>
      <c r="E39" s="59"/>
      <c r="F39" s="59"/>
      <c r="G39" s="59"/>
      <c r="H39" s="59"/>
      <c r="I39" s="10"/>
      <c r="J39" s="58" t="str">
        <f>J20</f>
        <v>Kitchen</v>
      </c>
      <c r="K39" s="62"/>
      <c r="L39" s="61"/>
      <c r="M39" s="61"/>
    </row>
    <row r="40" spans="1:13" x14ac:dyDescent="0.2">
      <c r="A40" s="65" t="str">
        <f>A21</f>
        <v>Reg 8</v>
      </c>
      <c r="B40" s="65" t="str">
        <f t="shared" ref="B40:H40" si="1">B21</f>
        <v>Reg 9</v>
      </c>
      <c r="C40" s="65" t="str">
        <f t="shared" si="1"/>
        <v>Reg 10</v>
      </c>
      <c r="D40" s="65" t="str">
        <f t="shared" si="1"/>
        <v>Reg 11</v>
      </c>
      <c r="E40" s="65" t="str">
        <f t="shared" si="1"/>
        <v>Reg 12</v>
      </c>
      <c r="F40" s="65" t="str">
        <f t="shared" si="1"/>
        <v>Reg 13</v>
      </c>
      <c r="G40" s="65" t="str">
        <f t="shared" si="1"/>
        <v>Reg 14</v>
      </c>
      <c r="H40" s="65" t="str">
        <f t="shared" si="1"/>
        <v>Reg15</v>
      </c>
      <c r="I40" s="10"/>
      <c r="J40" s="58" t="str">
        <f>J21</f>
        <v>Bath1</v>
      </c>
      <c r="K40" s="62"/>
      <c r="L40" s="61"/>
      <c r="M40" s="61"/>
    </row>
    <row r="41" spans="1:13" x14ac:dyDescent="0.2">
      <c r="A41" s="59"/>
      <c r="B41" s="59"/>
      <c r="C41" s="59"/>
      <c r="D41" s="59"/>
      <c r="E41" s="59"/>
      <c r="F41" s="59"/>
      <c r="G41" s="59"/>
      <c r="H41" s="61"/>
      <c r="I41" s="10"/>
      <c r="J41" s="76" t="str">
        <f>J22</f>
        <v>Bath2</v>
      </c>
      <c r="K41" s="62"/>
      <c r="L41" s="61"/>
      <c r="M41" s="61"/>
    </row>
    <row r="42" spans="1:13" x14ac:dyDescent="0.2">
      <c r="A42" s="65" t="str">
        <f>A23</f>
        <v>Reg 16</v>
      </c>
      <c r="B42" s="65" t="str">
        <f t="shared" ref="B42:G42" si="2">B23</f>
        <v>Reg 17</v>
      </c>
      <c r="C42" s="65" t="str">
        <f t="shared" si="2"/>
        <v>Reg 18</v>
      </c>
      <c r="D42" s="65" t="str">
        <f t="shared" si="2"/>
        <v>Reg 19</v>
      </c>
      <c r="E42" s="65" t="str">
        <f t="shared" si="2"/>
        <v>Reg 20</v>
      </c>
      <c r="F42" s="65" t="str">
        <f t="shared" si="2"/>
        <v>Reg 21</v>
      </c>
      <c r="G42" s="65" t="str">
        <f t="shared" si="2"/>
        <v>Reg 22</v>
      </c>
      <c r="H42" s="39" t="s">
        <v>42</v>
      </c>
      <c r="I42" s="10"/>
      <c r="J42" s="76" t="str">
        <f>J23</f>
        <v>Utility</v>
      </c>
      <c r="K42" s="62"/>
      <c r="L42" s="61"/>
      <c r="M42" s="61"/>
    </row>
    <row r="43" spans="1:13" x14ac:dyDescent="0.2">
      <c r="A43" s="61"/>
      <c r="B43" s="61"/>
      <c r="C43" s="61"/>
      <c r="D43" s="61"/>
      <c r="E43" s="61"/>
      <c r="F43" s="61"/>
      <c r="G43" s="61"/>
      <c r="H43" s="27">
        <f>SUM(A39:H39,A41:H41,A43:G43)</f>
        <v>0</v>
      </c>
      <c r="I43" s="10"/>
      <c r="J43" s="76" t="s">
        <v>79</v>
      </c>
      <c r="K43" s="62"/>
      <c r="L43" s="61"/>
      <c r="M43" s="61"/>
    </row>
    <row r="44" spans="1:13" x14ac:dyDescent="0.2">
      <c r="A44" s="124" t="s">
        <v>51</v>
      </c>
      <c r="B44" s="125"/>
      <c r="C44" s="125"/>
      <c r="D44" s="125"/>
      <c r="E44" s="126"/>
      <c r="F44" s="48" t="str">
        <f>IF(A39&gt;0.1,(H24-H43)/H24,"")</f>
        <v/>
      </c>
      <c r="G44" s="24"/>
      <c r="H44" s="42"/>
      <c r="I44" s="49"/>
      <c r="J44" s="49"/>
      <c r="K44" s="49"/>
      <c r="L44" s="49"/>
      <c r="M44" s="49"/>
    </row>
    <row r="45" spans="1:13" x14ac:dyDescent="0.2">
      <c r="A45" s="50"/>
      <c r="B45" s="50"/>
      <c r="C45" s="50"/>
      <c r="D45" s="50"/>
      <c r="E45" s="50"/>
      <c r="F45" s="51"/>
      <c r="G45" s="24"/>
      <c r="H45" s="42"/>
      <c r="I45" s="49"/>
      <c r="J45" s="49"/>
      <c r="K45" s="49"/>
      <c r="L45" s="49"/>
      <c r="M45" s="49"/>
    </row>
    <row r="46" spans="1:13" x14ac:dyDescent="0.2">
      <c r="A46" s="8" t="s">
        <v>52</v>
      </c>
      <c r="B46" s="8"/>
      <c r="C46" s="8"/>
      <c r="D46" s="8"/>
      <c r="E46" s="8"/>
      <c r="F46" s="8"/>
      <c r="G46" s="8"/>
      <c r="H46" s="8"/>
      <c r="I46" s="128" t="str">
        <f>IF((E29&gt;M9),"NOT Met",IF((E29&lt;M9),"Met Target",""))</f>
        <v>Met Target</v>
      </c>
      <c r="J46" s="129"/>
      <c r="K46" s="8"/>
      <c r="L46" s="10"/>
      <c r="M46" s="42"/>
    </row>
    <row r="47" spans="1:13" x14ac:dyDescent="0.2">
      <c r="A47" s="52" t="s">
        <v>53</v>
      </c>
      <c r="B47" s="53"/>
      <c r="C47" s="53"/>
      <c r="D47" s="53"/>
      <c r="E47" s="53"/>
      <c r="F47" s="53"/>
      <c r="G47" s="53"/>
      <c r="H47" s="53"/>
      <c r="I47" s="53"/>
      <c r="J47" s="53"/>
      <c r="K47" s="53"/>
      <c r="L47" s="53"/>
      <c r="M47" s="53"/>
    </row>
    <row r="48" spans="1:13" x14ac:dyDescent="0.2">
      <c r="A48" s="8" t="s">
        <v>54</v>
      </c>
      <c r="B48" s="8"/>
      <c r="C48" s="8"/>
      <c r="D48" s="8"/>
      <c r="E48" s="8"/>
      <c r="F48" s="8"/>
      <c r="G48" s="8"/>
      <c r="H48" s="8"/>
      <c r="I48" s="128" t="str">
        <f>IF((E31&gt;M11),"NOT Met",IF((E31&lt;M11),"Met Target",""))</f>
        <v>Met Target</v>
      </c>
      <c r="J48" s="129"/>
      <c r="K48" s="8"/>
      <c r="L48" s="8"/>
      <c r="M48" s="42"/>
    </row>
    <row r="49" spans="1:13" x14ac:dyDescent="0.2">
      <c r="A49" s="54" t="s">
        <v>64</v>
      </c>
      <c r="B49" s="54"/>
      <c r="C49" s="54"/>
      <c r="D49" s="54"/>
      <c r="E49" s="54"/>
      <c r="F49" s="54"/>
      <c r="G49" s="54"/>
      <c r="H49" s="54"/>
      <c r="I49" s="128" t="str">
        <f>IF((E33&gt;M13),"NOT Met",IF((E33&lt;M13),"Met Target",""))</f>
        <v>Met Target</v>
      </c>
      <c r="J49" s="129"/>
      <c r="K49" s="54"/>
      <c r="L49" s="54"/>
      <c r="M49" s="42"/>
    </row>
    <row r="50" spans="1:13" x14ac:dyDescent="0.2">
      <c r="A50" s="52" t="s">
        <v>55</v>
      </c>
      <c r="B50" s="53"/>
      <c r="C50" s="53"/>
      <c r="D50" s="53"/>
      <c r="E50" s="53"/>
      <c r="F50" s="53"/>
      <c r="G50" s="53"/>
      <c r="H50" s="53"/>
      <c r="I50" s="53"/>
      <c r="J50" s="53"/>
      <c r="K50" s="53"/>
      <c r="L50" s="53"/>
      <c r="M50" s="53"/>
    </row>
    <row r="51" spans="1:13" x14ac:dyDescent="0.2">
      <c r="A51" s="54" t="s">
        <v>65</v>
      </c>
      <c r="B51" s="10"/>
      <c r="C51" s="10"/>
      <c r="D51" s="10"/>
      <c r="E51" s="10"/>
      <c r="F51" s="10"/>
      <c r="G51" s="10"/>
      <c r="H51" s="10"/>
      <c r="I51" s="10"/>
      <c r="J51" s="10"/>
      <c r="K51" s="10"/>
      <c r="L51" s="10"/>
      <c r="M51" s="10"/>
    </row>
    <row r="52" spans="1:13" x14ac:dyDescent="0.2">
      <c r="A52" s="10"/>
      <c r="B52" s="10" t="s">
        <v>66</v>
      </c>
      <c r="C52" s="10"/>
      <c r="D52" s="10"/>
      <c r="E52" s="24"/>
      <c r="F52" s="10"/>
      <c r="G52" s="10"/>
      <c r="H52" s="10"/>
      <c r="I52" s="122"/>
      <c r="J52" s="123"/>
      <c r="K52" s="10"/>
      <c r="L52" s="10"/>
      <c r="M52" s="10"/>
    </row>
    <row r="53" spans="1:13" x14ac:dyDescent="0.2">
      <c r="A53" s="13" t="s">
        <v>56</v>
      </c>
      <c r="B53" s="13"/>
      <c r="C53" s="13"/>
      <c r="D53" s="13"/>
      <c r="E53" s="13"/>
      <c r="F53" s="13"/>
      <c r="G53" s="13"/>
      <c r="H53" s="13"/>
      <c r="I53" s="13"/>
      <c r="J53" s="13"/>
      <c r="K53" s="13"/>
      <c r="L53" s="13"/>
      <c r="M53" s="13"/>
    </row>
    <row r="54" spans="1:13" x14ac:dyDescent="0.2">
      <c r="A54" s="55"/>
      <c r="B54" s="55"/>
      <c r="C54" s="42"/>
      <c r="D54" s="42"/>
      <c r="E54" s="10"/>
      <c r="F54" s="10"/>
      <c r="G54" s="10"/>
      <c r="H54" s="10"/>
      <c r="I54" s="10"/>
      <c r="J54" s="10"/>
      <c r="K54" s="10"/>
      <c r="L54" s="10"/>
      <c r="M54" s="10"/>
    </row>
    <row r="55" spans="1:13" x14ac:dyDescent="0.2">
      <c r="A55" s="63"/>
      <c r="B55" s="63"/>
      <c r="C55" s="63"/>
      <c r="D55" s="63"/>
      <c r="E55" s="63"/>
      <c r="F55" s="63"/>
      <c r="G55" s="63"/>
      <c r="H55" s="63"/>
      <c r="I55" s="63"/>
      <c r="J55" s="56"/>
      <c r="K55" s="56"/>
      <c r="L55" s="127"/>
      <c r="M55" s="127"/>
    </row>
    <row r="56" spans="1:13" x14ac:dyDescent="0.2">
      <c r="A56" s="57" t="s">
        <v>57</v>
      </c>
      <c r="B56" s="10"/>
      <c r="C56" s="57"/>
      <c r="D56" s="57"/>
      <c r="E56" s="57"/>
      <c r="F56" s="57"/>
      <c r="G56" s="57"/>
      <c r="H56" s="57"/>
      <c r="I56" s="57"/>
      <c r="J56" s="57"/>
      <c r="K56" s="57"/>
      <c r="L56" s="57" t="s">
        <v>58</v>
      </c>
      <c r="M56" s="57"/>
    </row>
    <row r="57" spans="1:13" x14ac:dyDescent="0.2">
      <c r="A57" s="24"/>
      <c r="B57" s="24"/>
      <c r="C57" s="24"/>
      <c r="D57" s="24"/>
      <c r="E57" s="24"/>
      <c r="F57" s="24"/>
      <c r="G57" s="24"/>
      <c r="H57" s="24"/>
      <c r="I57" s="24"/>
      <c r="J57" s="24"/>
      <c r="K57" s="24"/>
      <c r="L57" s="24"/>
      <c r="M57" s="24"/>
    </row>
    <row r="58" spans="1:13" x14ac:dyDescent="0.2">
      <c r="A58" s="24"/>
      <c r="B58" s="24"/>
      <c r="C58" s="24"/>
      <c r="D58" s="24"/>
      <c r="E58" s="24"/>
      <c r="F58" s="24"/>
      <c r="G58" s="24"/>
      <c r="H58" s="24"/>
      <c r="I58" s="24"/>
      <c r="J58" s="24"/>
      <c r="K58" s="24"/>
      <c r="L58" s="24"/>
      <c r="M58" s="24"/>
    </row>
    <row r="59" spans="1:13" x14ac:dyDescent="0.2">
      <c r="A59" s="24"/>
      <c r="B59" s="24"/>
      <c r="C59" s="24"/>
      <c r="D59" s="24"/>
      <c r="E59" s="24"/>
      <c r="F59" s="24"/>
      <c r="G59" s="24"/>
      <c r="H59" s="24"/>
      <c r="I59" s="24"/>
      <c r="J59" s="24"/>
      <c r="K59" s="24"/>
      <c r="L59" s="24"/>
      <c r="M59" s="24"/>
    </row>
    <row r="60" spans="1:13" x14ac:dyDescent="0.2">
      <c r="A60" s="24"/>
      <c r="B60" s="24"/>
      <c r="C60" s="24"/>
      <c r="D60" s="24"/>
      <c r="E60" s="24"/>
      <c r="F60" s="24"/>
      <c r="G60" s="24"/>
      <c r="H60" s="24"/>
      <c r="I60" s="24"/>
      <c r="J60" s="24"/>
      <c r="K60" s="24"/>
      <c r="L60" s="24"/>
      <c r="M60" s="24"/>
    </row>
    <row r="61" spans="1:13" x14ac:dyDescent="0.2">
      <c r="A61" s="24"/>
      <c r="B61" s="24"/>
      <c r="C61" s="24"/>
      <c r="D61" s="24"/>
      <c r="E61" s="24"/>
      <c r="F61" s="24"/>
      <c r="G61" s="24"/>
      <c r="H61" s="24"/>
      <c r="I61" s="24"/>
      <c r="J61" s="24"/>
      <c r="K61" s="24"/>
      <c r="L61" s="24"/>
      <c r="M61" s="24"/>
    </row>
    <row r="62" spans="1:13" x14ac:dyDescent="0.2">
      <c r="A62" s="24"/>
      <c r="B62" s="24"/>
      <c r="C62" s="24"/>
      <c r="D62" s="24"/>
      <c r="E62" s="24"/>
      <c r="F62" s="24"/>
      <c r="G62" s="24"/>
      <c r="H62" s="24"/>
      <c r="I62" s="24"/>
      <c r="J62" s="24"/>
      <c r="K62" s="24"/>
      <c r="L62" s="24"/>
      <c r="M62" s="24"/>
    </row>
    <row r="63" spans="1:13" x14ac:dyDescent="0.2">
      <c r="A63" s="24"/>
      <c r="B63" s="24"/>
      <c r="C63" s="24"/>
      <c r="D63" s="24"/>
      <c r="E63" s="24"/>
      <c r="F63" s="24"/>
      <c r="G63" s="24"/>
      <c r="H63" s="24"/>
      <c r="I63" s="24"/>
      <c r="J63" s="24"/>
      <c r="K63" s="24"/>
      <c r="L63" s="24"/>
      <c r="M63" s="24"/>
    </row>
    <row r="64" spans="1:13" x14ac:dyDescent="0.2">
      <c r="A64" s="24"/>
      <c r="B64" s="24"/>
      <c r="C64" s="24"/>
      <c r="D64" s="24"/>
      <c r="E64" s="24"/>
      <c r="F64" s="24"/>
      <c r="G64" s="24"/>
      <c r="H64" s="24"/>
      <c r="I64" s="24"/>
      <c r="J64" s="24"/>
      <c r="K64" s="24"/>
      <c r="L64" s="24"/>
      <c r="M64" s="24"/>
    </row>
    <row r="65" spans="1:13" x14ac:dyDescent="0.2">
      <c r="A65" s="24"/>
      <c r="B65" s="24"/>
      <c r="C65" s="24"/>
      <c r="D65" s="24"/>
      <c r="E65" s="24"/>
      <c r="F65" s="24"/>
      <c r="G65" s="24"/>
      <c r="H65" s="24"/>
      <c r="I65" s="24"/>
      <c r="J65" s="24"/>
      <c r="K65" s="24"/>
      <c r="L65" s="24"/>
      <c r="M65" s="24"/>
    </row>
    <row r="66" spans="1:13" x14ac:dyDescent="0.2">
      <c r="A66" s="24"/>
      <c r="B66" s="24"/>
      <c r="C66" s="24"/>
      <c r="D66" s="24"/>
      <c r="E66" s="24"/>
      <c r="F66" s="24"/>
      <c r="G66" s="24"/>
      <c r="H66" s="24"/>
      <c r="I66" s="24"/>
      <c r="J66" s="24"/>
      <c r="K66" s="24"/>
      <c r="L66" s="24"/>
      <c r="M66" s="24"/>
    </row>
    <row r="67" spans="1:13" x14ac:dyDescent="0.2">
      <c r="A67" s="24"/>
      <c r="B67" s="24"/>
      <c r="C67" s="24"/>
      <c r="D67" s="24"/>
      <c r="E67" s="24"/>
      <c r="F67" s="24"/>
      <c r="G67" s="24"/>
      <c r="H67" s="24"/>
      <c r="I67" s="24"/>
      <c r="J67" s="24"/>
      <c r="K67" s="24"/>
      <c r="L67" s="24"/>
      <c r="M67" s="24"/>
    </row>
    <row r="68" spans="1:13" x14ac:dyDescent="0.2">
      <c r="A68" s="24"/>
      <c r="B68" s="24"/>
      <c r="C68" s="24"/>
      <c r="D68" s="24"/>
      <c r="E68" s="24"/>
      <c r="F68" s="24"/>
      <c r="G68" s="24"/>
      <c r="H68" s="24"/>
      <c r="I68" s="24"/>
      <c r="J68" s="24"/>
      <c r="K68" s="24"/>
      <c r="L68" s="24"/>
      <c r="M68" s="24"/>
    </row>
    <row r="69" spans="1:13" x14ac:dyDescent="0.2">
      <c r="A69" s="24"/>
      <c r="B69" s="24"/>
      <c r="C69" s="24"/>
      <c r="D69" s="24"/>
      <c r="E69" s="24"/>
      <c r="F69" s="24"/>
      <c r="G69" s="24"/>
      <c r="H69" s="24"/>
      <c r="I69" s="24"/>
      <c r="J69" s="24"/>
      <c r="K69" s="24"/>
      <c r="L69" s="24"/>
      <c r="M69" s="24"/>
    </row>
    <row r="70" spans="1:13" x14ac:dyDescent="0.2">
      <c r="A70" s="24"/>
      <c r="B70" s="24"/>
      <c r="C70" s="24"/>
      <c r="D70" s="24"/>
      <c r="E70" s="24"/>
      <c r="F70" s="24"/>
      <c r="G70" s="24"/>
      <c r="H70" s="24"/>
      <c r="I70" s="24"/>
      <c r="J70" s="24"/>
      <c r="K70" s="24"/>
      <c r="L70" s="24"/>
      <c r="M70" s="24"/>
    </row>
    <row r="71" spans="1:13" x14ac:dyDescent="0.2">
      <c r="A71" s="24"/>
      <c r="B71" s="24"/>
      <c r="C71" s="24"/>
      <c r="D71" s="24"/>
      <c r="E71" s="24"/>
      <c r="F71" s="24"/>
      <c r="G71" s="24"/>
      <c r="H71" s="24"/>
      <c r="I71" s="24"/>
      <c r="J71" s="24"/>
      <c r="K71" s="24"/>
      <c r="L71" s="24"/>
      <c r="M71" s="24"/>
    </row>
    <row r="72" spans="1:13" x14ac:dyDescent="0.2">
      <c r="A72" s="24"/>
      <c r="B72" s="24"/>
      <c r="C72" s="24"/>
      <c r="D72" s="24"/>
      <c r="E72" s="24"/>
      <c r="F72" s="24"/>
      <c r="G72" s="24"/>
      <c r="H72" s="24"/>
      <c r="I72" s="24"/>
      <c r="J72" s="24"/>
      <c r="K72" s="24"/>
      <c r="L72" s="24"/>
      <c r="M72" s="24"/>
    </row>
    <row r="73" spans="1:13" x14ac:dyDescent="0.2">
      <c r="A73" s="24"/>
      <c r="B73" s="24"/>
      <c r="C73" s="24"/>
      <c r="D73" s="24"/>
      <c r="E73" s="24"/>
      <c r="F73" s="24"/>
      <c r="G73" s="24"/>
      <c r="H73" s="24"/>
      <c r="I73" s="24"/>
      <c r="J73" s="24"/>
      <c r="K73" s="24"/>
      <c r="L73" s="24"/>
      <c r="M73" s="24"/>
    </row>
    <row r="74" spans="1:13" x14ac:dyDescent="0.2">
      <c r="A74" s="24"/>
      <c r="B74" s="24"/>
      <c r="C74" s="24"/>
      <c r="D74" s="24"/>
      <c r="E74" s="24"/>
      <c r="F74" s="24"/>
      <c r="G74" s="24"/>
      <c r="H74" s="24"/>
      <c r="I74" s="24"/>
      <c r="J74" s="24"/>
      <c r="K74" s="24"/>
      <c r="L74" s="24"/>
      <c r="M74" s="24"/>
    </row>
    <row r="75" spans="1:13" x14ac:dyDescent="0.2">
      <c r="A75" s="24"/>
      <c r="B75" s="24"/>
      <c r="C75" s="24"/>
      <c r="D75" s="24"/>
      <c r="E75" s="24"/>
      <c r="F75" s="24"/>
      <c r="G75" s="24"/>
      <c r="H75" s="24"/>
      <c r="I75" s="24"/>
      <c r="J75" s="24"/>
      <c r="K75" s="24"/>
      <c r="L75" s="24"/>
      <c r="M75" s="24"/>
    </row>
    <row r="76" spans="1:13" x14ac:dyDescent="0.2">
      <c r="A76" s="24"/>
      <c r="B76" s="24"/>
      <c r="C76" s="24"/>
      <c r="D76" s="24"/>
      <c r="E76" s="24"/>
      <c r="F76" s="24"/>
      <c r="G76" s="24"/>
      <c r="H76" s="24"/>
      <c r="I76" s="24"/>
      <c r="J76" s="24"/>
      <c r="K76" s="24"/>
      <c r="L76" s="24"/>
      <c r="M76" s="24"/>
    </row>
    <row r="77" spans="1:13" x14ac:dyDescent="0.2">
      <c r="A77" s="24"/>
      <c r="B77" s="24"/>
      <c r="C77" s="24"/>
      <c r="D77" s="24"/>
      <c r="E77" s="24"/>
      <c r="F77" s="24"/>
      <c r="G77" s="24"/>
      <c r="H77" s="24"/>
      <c r="I77" s="24"/>
      <c r="J77" s="24"/>
      <c r="K77" s="24"/>
      <c r="L77" s="24"/>
      <c r="M77" s="24"/>
    </row>
    <row r="78" spans="1:13" x14ac:dyDescent="0.2">
      <c r="A78" s="24"/>
      <c r="B78" s="24"/>
      <c r="C78" s="24"/>
      <c r="D78" s="24"/>
      <c r="E78" s="24"/>
      <c r="F78" s="24"/>
      <c r="G78" s="24"/>
      <c r="H78" s="24"/>
      <c r="I78" s="24"/>
      <c r="J78" s="24"/>
      <c r="K78" s="24"/>
      <c r="L78" s="24"/>
      <c r="M78" s="24"/>
    </row>
    <row r="79" spans="1:13" x14ac:dyDescent="0.2">
      <c r="A79" s="24"/>
      <c r="B79" s="24"/>
      <c r="C79" s="24"/>
      <c r="D79" s="24"/>
      <c r="E79" s="24"/>
      <c r="F79" s="24"/>
      <c r="G79" s="24"/>
      <c r="H79" s="24"/>
      <c r="I79" s="24"/>
      <c r="J79" s="24"/>
      <c r="K79" s="24"/>
      <c r="L79" s="24"/>
      <c r="M79" s="24"/>
    </row>
    <row r="80" spans="1:13" x14ac:dyDescent="0.2">
      <c r="A80" s="24"/>
      <c r="B80" s="24"/>
      <c r="C80" s="24"/>
      <c r="D80" s="24"/>
      <c r="E80" s="24"/>
      <c r="F80" s="24"/>
      <c r="G80" s="24"/>
      <c r="H80" s="24"/>
      <c r="I80" s="24"/>
      <c r="J80" s="24"/>
      <c r="K80" s="24"/>
      <c r="L80" s="24"/>
      <c r="M80" s="24"/>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sheetData>
  <sheetProtection algorithmName="SHA-512" hashValue="1DaSZzmuepSD8NZ+PbM7oEp/Gvmjx+vWIbCz3xPFHxhVuN4rosiBdn9wLbqRueit0bDO7o8u44svD8FZdnfjqA==" saltValue="1lblSa0N9WNU+hrUCokWLA==" spinCount="100000" sheet="1" selectLockedCells="1"/>
  <customSheetViews>
    <customSheetView guid="{6BA93A1E-DA3F-4332-8827-B6316607DEBE}" scale="160" fitToPage="1" hiddenRows="1" hiddenColumns="1" topLeftCell="A40">
      <selection activeCell="E9" sqref="E9"/>
      <pageMargins left="0.7" right="0.7" top="0.75" bottom="0.75" header="0.3" footer="0.3"/>
      <pageSetup scale="83" orientation="portrait" r:id="rId1"/>
    </customSheetView>
    <customSheetView guid="{96E0CE35-E0EB-45AA-9D9A-2D49B43AC525}" scale="160" fitToPage="1" hiddenRows="1" hiddenColumns="1" topLeftCell="A40">
      <selection activeCell="E9" sqref="E9"/>
      <pageMargins left="0.7" right="0.7" top="0.75" bottom="0.75" header="0.3" footer="0.3"/>
      <pageSetup scale="83" orientation="portrait" r:id="rId2"/>
    </customSheetView>
  </customSheetViews>
  <mergeCells count="9">
    <mergeCell ref="J4:M4"/>
    <mergeCell ref="C4:H4"/>
    <mergeCell ref="I52:J52"/>
    <mergeCell ref="A44:E44"/>
    <mergeCell ref="L55:M55"/>
    <mergeCell ref="I46:J46"/>
    <mergeCell ref="I48:J48"/>
    <mergeCell ref="I49:J49"/>
    <mergeCell ref="J26:K26"/>
  </mergeCells>
  <dataValidations xWindow="1143" yWindow="333" count="23">
    <dataValidation type="list" allowBlank="1" showInputMessage="1" showErrorMessage="1" promptTitle="Maximize Effort?" prompt="Select whether or not air and duct sealing efforts were maximized on this house. Typically, available air/duct sealing funds should NOT be left if the sealing targets have not been met. Use ZPDs for more effective air sealing." sqref="I52">
      <formula1>"Yes, No"</formula1>
    </dataValidation>
    <dataValidation allowBlank="1" showInputMessage="1" showErrorMessage="1" promptTitle="Signature Date" prompt="Record the date you signed this document as completed." sqref="L55"/>
    <dataValidation allowBlank="1" showInputMessage="1" showErrorMessage="1" promptTitle="Subrecipient Staff Signature" prompt="By signing this document, you are certifying that all the information above is true and accurate." sqref="A55"/>
    <dataValidation type="list" allowBlank="1" showInputMessage="1" showErrorMessage="1" promptTitle="Terminate Outside?" prompt="Operational exhaust fan absolutely MUST terminate outside at conclusion of WX work. Does this particular fan terminate outside the building envelope? At the final inspection, this true answer MUST BE YES!" sqref="L39:L43">
      <formula1>"Yes, No, NA"</formula1>
    </dataValidation>
    <dataValidation type="list" allowBlank="1" showInputMessage="1" showErrorMessage="1" promptTitle="Terminate Outside?" prompt="Operational exhaust fan must be terminated outside at conclusion of WX work. Does this particular fan terminate outside the building envelope?" sqref="L20:L23">
      <formula1>"Yes, No, NA"</formula1>
    </dataValidation>
    <dataValidation type="list" allowBlank="1" showInputMessage="1" showErrorMessage="1" promptTitle="Openable window?" prompt="Does the room where this fan exists have an openable window?" sqref="M20:M23 M39:M43">
      <formula1>"Yes, No, NA"</formula1>
    </dataValidation>
    <dataValidation allowBlank="1" showInputMessage="1" showErrorMessage="1" promptTitle="CFM reading" prompt="Enter the cfm reading for this exhaust piece of equipment. Use the fan flow meter to determine the flow." sqref="K20:K23 K39:K43"/>
    <dataValidation allowBlank="1" showInputMessage="1" showErrorMessage="1" promptTitle="Register PP Reading" prompt="With the blower door running, record the pressure pan reading for this register." sqref="B20:H20 A22:G22 B39:H39 A41:G41"/>
    <dataValidation allowBlank="1" showInputMessage="1" showErrorMessage="1" promptTitle="Return Air PP reading" prompt="With blower door running, record the pressure pan reading for the return air. To obtain this reading, you will need to tape off the majority of the return air grill, leaving an open space big enough for your pressure pan to cover and get your reading." sqref="A20 A39"/>
    <dataValidation type="whole" allowBlank="1" showInputMessage="1" showErrorMessage="1" promptTitle="Initial Duct Leakage to Outside" prompt="Input the duct leakage to the outside reading obtained from the initial assessment." sqref="E13">
      <formula1>0</formula1>
      <formula2>20000</formula2>
    </dataValidation>
    <dataValidation type="whole" allowBlank="1" showInputMessage="1" showErrorMessage="1" promptTitle="Initial Total Duct Leakage" prompt="Input the total duct leakage reading from the initial assessment." sqref="E11">
      <formula1>0</formula1>
      <formula2>20000</formula2>
    </dataValidation>
    <dataValidation allowBlank="1" showInputMessage="1" showErrorMessage="1" promptTitle="Return duct pressure" prompt="Input the pressure measured in the duct system on the return side. For this test, with the HVAC unit running, you will have your pressure probe in the return air space facing into the air flow." sqref="K15 K35"/>
    <dataValidation allowBlank="1" showInputMessage="1" showErrorMessage="1" promptTitle="Duct Supply Pressure" prompt="Input the pressure measured in the duct system on the supply side. For this test, with the HVAC unit running, you will have your pressure probe in the supply plenum facing into the air flow." sqref="H15 H35"/>
    <dataValidation type="list" allowBlank="1" showInputMessage="1" showErrorMessage="1" promptTitle="Duct Blaster Ring" prompt="Select the duct blaster ring used for this test." sqref="L11 L13 L31 L33">
      <formula1>"Open, 1, 2, 3"</formula1>
    </dataValidation>
    <dataValidation type="list" allowBlank="1" showInputMessage="1" showErrorMessage="1" promptTitle="Blower Door Ring" prompt="Select the appropriate ring used during this test." sqref="L9 L29">
      <formula1>"Open, A, B, C"</formula1>
    </dataValidation>
    <dataValidation type="whole" allowBlank="1" showInputMessage="1" showErrorMessage="1" promptTitle="Duct Blaster Pascal Reading" prompt="Input the pascal reading from the duct blaster for this test." sqref="H11 H33 H31 H13">
      <formula1>0</formula1>
      <formula2>26</formula2>
    </dataValidation>
    <dataValidation type="whole" allowBlank="1" showInputMessage="1" showErrorMessage="1" promptTitle="Blower Door Pascal Reading" prompt="Input the pascal reading from the blower door for this test." sqref="H9 H29">
      <formula1>0</formula1>
      <formula2>55</formula2>
    </dataValidation>
    <dataValidation type="whole" allowBlank="1" showInputMessage="1" showErrorMessage="1" promptTitle="Duct Leakage to the Outside" prompt="Input the duct leakage to the outside reading obtained from the initial assessment." sqref="E33">
      <formula1>0</formula1>
      <formula2>20000</formula2>
    </dataValidation>
    <dataValidation type="whole" allowBlank="1" showInputMessage="1" showErrorMessage="1" promptTitle="Total Duct Leakage" prompt="Input the total duct leakage reading from the initial assessment." sqref="E31">
      <formula1>0</formula1>
      <formula2>20000</formula2>
    </dataValidation>
    <dataValidation type="whole" allowBlank="1" showInputMessage="1" showErrorMessage="1" promptTitle="Initial blower door reading" prompt="Input the blower door reading from the initial assessment." sqref="E9 E29">
      <formula1>0</formula1>
      <formula2>20000</formula2>
    </dataValidation>
    <dataValidation type="decimal" allowBlank="1" showInputMessage="1" showErrorMessage="1" promptTitle="Ceiling Height" prompt="Input the average ceiling height for the unit." sqref="H6">
      <formula1>0</formula1>
      <formula2>25</formula2>
    </dataValidation>
    <dataValidation allowBlank="1" showInputMessage="1" showErrorMessage="1" promptTitle="Client Name" prompt="Input the name of client" sqref="C4"/>
    <dataValidation allowBlank="1" showInputMessage="1" showErrorMessage="1" promptTitle="Total Dwelling Height" prompt="Vertical distance between the lowest and highest above-grade points within the dwelling pressure boundary." sqref="L26"/>
  </dataValidations>
  <pageMargins left="0.7" right="0.7" top="0.75" bottom="0.75" header="0.3" footer="0.3"/>
  <pageSetup scale="83"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zoomScaleNormal="100" workbookViewId="0">
      <selection activeCell="K66" sqref="K66"/>
    </sheetView>
  </sheetViews>
  <sheetFormatPr defaultRowHeight="15" x14ac:dyDescent="0.25"/>
  <sheetData>
    <row r="1" spans="1:27" ht="15.75" x14ac:dyDescent="0.25">
      <c r="A1" s="115"/>
    </row>
    <row r="2" spans="1:27" ht="15.75" x14ac:dyDescent="0.25">
      <c r="A2" s="115"/>
    </row>
    <row r="3" spans="1:27" x14ac:dyDescent="0.25">
      <c r="A3" s="114"/>
    </row>
    <row r="5" spans="1:27" x14ac:dyDescent="0.25">
      <c r="T5" s="113"/>
      <c r="U5" s="113"/>
      <c r="V5" s="113"/>
      <c r="W5" s="113"/>
      <c r="X5" s="113"/>
      <c r="Y5" s="113"/>
      <c r="Z5" s="113"/>
    </row>
    <row r="6" spans="1:27" ht="14.45" customHeight="1" x14ac:dyDescent="0.25">
      <c r="Q6" s="112"/>
      <c r="R6" s="112"/>
      <c r="T6" s="113"/>
      <c r="U6" s="113"/>
      <c r="V6" s="113"/>
      <c r="W6" s="113"/>
      <c r="X6" s="113"/>
      <c r="Y6" s="113"/>
      <c r="Z6" s="113"/>
    </row>
    <row r="7" spans="1:27" x14ac:dyDescent="0.25">
      <c r="P7" s="112"/>
      <c r="Q7" s="112"/>
      <c r="R7" s="112"/>
      <c r="S7" s="112"/>
      <c r="T7" s="113"/>
      <c r="U7" s="113"/>
      <c r="V7" s="113"/>
      <c r="W7" s="113"/>
      <c r="X7" s="113"/>
      <c r="Y7" s="113"/>
      <c r="Z7" s="113"/>
    </row>
    <row r="8" spans="1:27" x14ac:dyDescent="0.25">
      <c r="A8" s="116"/>
      <c r="P8" s="112"/>
      <c r="Q8" s="112"/>
      <c r="R8" s="112"/>
      <c r="T8" s="113"/>
      <c r="U8" s="113"/>
      <c r="V8" s="113"/>
      <c r="W8" s="113"/>
      <c r="X8" s="113"/>
      <c r="Y8" s="113"/>
      <c r="Z8" s="113"/>
    </row>
    <row r="9" spans="1:27" x14ac:dyDescent="0.25">
      <c r="A9" s="117"/>
      <c r="T9" s="113"/>
      <c r="U9" s="113"/>
      <c r="V9" s="113"/>
      <c r="W9" s="113"/>
      <c r="X9" s="113"/>
      <c r="Y9" s="113"/>
      <c r="Z9" s="113"/>
    </row>
    <row r="10" spans="1:27" ht="14.45" customHeight="1" x14ac:dyDescent="0.25">
      <c r="A10" s="116"/>
      <c r="S10" s="112"/>
      <c r="T10" s="113"/>
      <c r="U10" s="113"/>
      <c r="V10" s="113"/>
      <c r="W10" s="113"/>
      <c r="X10" s="113"/>
      <c r="Y10" s="113"/>
      <c r="Z10" s="113"/>
    </row>
    <row r="11" spans="1:27" ht="14.45" customHeight="1" x14ac:dyDescent="0.25">
      <c r="A11" s="117"/>
      <c r="Q11" s="112"/>
      <c r="R11" s="112"/>
      <c r="S11" s="112"/>
      <c r="T11" s="113"/>
      <c r="U11" s="113"/>
      <c r="V11" s="113"/>
      <c r="W11" s="113"/>
      <c r="X11" s="113"/>
      <c r="Y11" s="113"/>
      <c r="Z11" s="113"/>
    </row>
    <row r="12" spans="1:27" x14ac:dyDescent="0.25">
      <c r="A12" s="117"/>
      <c r="P12" s="112"/>
      <c r="Q12" s="112"/>
      <c r="R12" s="112"/>
      <c r="S12" s="112"/>
      <c r="T12" s="113"/>
      <c r="U12" s="113"/>
      <c r="V12" s="113"/>
      <c r="W12" s="113"/>
      <c r="X12" s="113"/>
      <c r="Y12" s="113"/>
      <c r="Z12" s="113"/>
    </row>
    <row r="13" spans="1:27" x14ac:dyDescent="0.25">
      <c r="A13" s="117"/>
      <c r="T13" s="113"/>
      <c r="U13" s="113"/>
      <c r="V13" s="113"/>
      <c r="W13" s="113"/>
      <c r="X13" s="113"/>
      <c r="Y13" s="113"/>
      <c r="Z13" s="113"/>
    </row>
    <row r="14" spans="1:27" ht="14.45" customHeight="1" x14ac:dyDescent="0.25">
      <c r="A14" s="117"/>
      <c r="T14" s="113"/>
      <c r="U14" s="113"/>
      <c r="V14" s="113"/>
      <c r="W14" s="113"/>
      <c r="X14" s="113"/>
      <c r="Y14" s="113"/>
      <c r="Z14" s="113"/>
    </row>
    <row r="15" spans="1:27" ht="14.45" customHeight="1" x14ac:dyDescent="0.25">
      <c r="A15" s="117"/>
      <c r="T15" s="119"/>
      <c r="U15" s="113"/>
      <c r="V15" s="113"/>
      <c r="W15" s="113"/>
      <c r="X15" s="113"/>
      <c r="Y15" s="113"/>
      <c r="Z15" s="113"/>
      <c r="AA15" s="112"/>
    </row>
    <row r="16" spans="1:27" ht="14.45" customHeight="1" x14ac:dyDescent="0.25">
      <c r="A16" s="117"/>
      <c r="T16" s="119"/>
      <c r="U16" s="113"/>
      <c r="V16" s="113"/>
      <c r="W16" s="113"/>
      <c r="X16" s="113"/>
      <c r="Y16" s="113"/>
      <c r="Z16" s="113"/>
      <c r="AA16" s="112"/>
    </row>
    <row r="17" spans="1:26" ht="14.45" customHeight="1" x14ac:dyDescent="0.25">
      <c r="A17" s="117"/>
      <c r="T17" s="113"/>
      <c r="U17" s="113"/>
      <c r="V17" s="113"/>
      <c r="W17" s="113"/>
      <c r="X17" s="113"/>
      <c r="Y17" s="113"/>
      <c r="Z17" s="113"/>
    </row>
    <row r="18" spans="1:26" ht="14.45" customHeight="1" x14ac:dyDescent="0.25">
      <c r="A18" s="117"/>
      <c r="T18" s="112"/>
      <c r="U18" s="112"/>
      <c r="V18" s="112"/>
      <c r="W18" s="112"/>
      <c r="X18" s="112"/>
      <c r="Y18" s="112"/>
      <c r="Z18" s="112"/>
    </row>
    <row r="19" spans="1:26" x14ac:dyDescent="0.25">
      <c r="A19" s="117"/>
      <c r="T19" s="112"/>
      <c r="U19" s="112"/>
      <c r="V19" s="112"/>
      <c r="W19" s="112"/>
      <c r="X19" s="112"/>
      <c r="Y19" s="112"/>
      <c r="Z19" s="112"/>
    </row>
    <row r="20" spans="1:26" x14ac:dyDescent="0.25">
      <c r="A20" s="117"/>
      <c r="T20" s="112"/>
      <c r="U20" s="112"/>
      <c r="V20" s="112"/>
      <c r="W20" s="112"/>
      <c r="X20" s="112"/>
      <c r="Y20" s="112"/>
      <c r="Z20" s="112"/>
    </row>
    <row r="21" spans="1:26" x14ac:dyDescent="0.25">
      <c r="A21" s="118"/>
    </row>
    <row r="22" spans="1:26" x14ac:dyDescent="0.25">
      <c r="A22" s="117"/>
    </row>
    <row r="23" spans="1:26" x14ac:dyDescent="0.25">
      <c r="A23" s="117"/>
    </row>
    <row r="24" spans="1:26" x14ac:dyDescent="0.25">
      <c r="A24" s="117"/>
    </row>
    <row r="25" spans="1:26" x14ac:dyDescent="0.25">
      <c r="A25" s="117"/>
    </row>
    <row r="26" spans="1:26" x14ac:dyDescent="0.25">
      <c r="A26" s="117"/>
    </row>
    <row r="27" spans="1:26" x14ac:dyDescent="0.25">
      <c r="A27" s="117"/>
    </row>
    <row r="28" spans="1:26" x14ac:dyDescent="0.25">
      <c r="A28" s="116"/>
    </row>
  </sheetData>
  <sheetProtection algorithmName="SHA-512" hashValue="twKUjsnApguTJcSqEos7ek47Vo6yP+rFNPGjoO46lju4zoQLUIRfQjbZ5HGkLhefsH2antP3HwarvvBo19+lnw==" saltValue="6CQKhN5A43X9T/wYugwtvA==" spinCount="100000" sheet="1" objects="1" scenarios="1"/>
  <customSheetViews>
    <customSheetView guid="{6BA93A1E-DA3F-4332-8827-B6316607DEBE}">
      <selection activeCell="A10" sqref="A10"/>
      <pageMargins left="0.7" right="0.7" top="0.75" bottom="0.75" header="0.3" footer="0.3"/>
      <pageSetup orientation="portrait" r:id="rId1"/>
    </customSheetView>
    <customSheetView guid="{96E0CE35-E0EB-45AA-9D9A-2D49B43AC525}">
      <selection activeCell="A10" sqref="A10"/>
      <pageMargins left="0.7" right="0.7" top="0.75" bottom="0.75" header="0.3" footer="0.3"/>
      <pageSetup orientation="portrait" r:id="rId2"/>
    </customSheetView>
  </customSheetViews>
  <pageMargins left="0.25" right="0.25"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topLeftCell="AB1" workbookViewId="0">
      <selection activeCell="AB1" sqref="AB1"/>
    </sheetView>
  </sheetViews>
  <sheetFormatPr defaultRowHeight="15" x14ac:dyDescent="0.25"/>
  <cols>
    <col min="1" max="3" width="8.85546875" style="77" hidden="1" customWidth="1"/>
    <col min="4" max="4" width="9.140625" style="77" hidden="1" customWidth="1"/>
    <col min="5" max="5" width="4.7109375" style="77" hidden="1" customWidth="1"/>
    <col min="6" max="27" width="8.85546875" style="77" hidden="1" customWidth="1"/>
  </cols>
  <sheetData>
    <row r="1" spans="1:28" x14ac:dyDescent="0.25">
      <c r="A1" s="142" t="s">
        <v>67</v>
      </c>
      <c r="B1" s="142"/>
      <c r="C1" s="142"/>
      <c r="F1" s="78">
        <v>1203</v>
      </c>
      <c r="G1" s="78">
        <v>8</v>
      </c>
      <c r="H1" s="78">
        <v>8.5</v>
      </c>
      <c r="I1" s="78">
        <v>9</v>
      </c>
      <c r="J1" s="78">
        <v>9.5</v>
      </c>
      <c r="K1" s="78">
        <v>10</v>
      </c>
      <c r="M1" s="79" t="str">
        <f>IF('Data Sheet'!C6&gt;0,'Data Sheet'!C6*'Data Sheet'!H6,"")</f>
        <v/>
      </c>
      <c r="O1" s="80" t="str">
        <f>IF(AND('Data Sheet'!E9&gt;1,'Data Sheet'!E9&lt;=1999),9,IF(AND('Data Sheet'!E9&gt;=2000,'Data Sheet'!E9&lt;=2999),10,IF(AND('Data Sheet'!E9&gt;=3000,'Data Sheet'!E9&lt;=3999),11,IF(AND('Data Sheet'!E9&gt;=4000,'Data Sheet'!E9&lt;=4999),12,IF(AND('Data Sheet'!C6&gt;1,'Data Sheet'!E9&gt;=5000),13,"")))))</f>
        <v/>
      </c>
      <c r="AB1" s="102"/>
    </row>
    <row r="2" spans="1:28" x14ac:dyDescent="0.25">
      <c r="A2" s="77">
        <v>1599</v>
      </c>
      <c r="B2" s="77" t="s">
        <v>59</v>
      </c>
      <c r="F2" s="78" t="s">
        <v>60</v>
      </c>
      <c r="G2" s="78">
        <f>F1*G1</f>
        <v>9624</v>
      </c>
      <c r="H2" s="78">
        <f>F1*H1</f>
        <v>10225.5</v>
      </c>
      <c r="I2" s="78">
        <f>F1*I1</f>
        <v>10827</v>
      </c>
      <c r="J2" s="78">
        <f>F1*J1</f>
        <v>11428.5</v>
      </c>
      <c r="K2" s="78">
        <f>F1*K1</f>
        <v>12030</v>
      </c>
      <c r="M2" s="81"/>
    </row>
    <row r="3" spans="1:28" x14ac:dyDescent="0.25">
      <c r="A3" s="77">
        <v>1600</v>
      </c>
      <c r="B3" s="77">
        <v>0.75</v>
      </c>
      <c r="C3" s="77">
        <f>A3*B3</f>
        <v>1200</v>
      </c>
      <c r="F3" s="78">
        <v>3</v>
      </c>
      <c r="G3" s="82">
        <f>($G$2*F3)/60</f>
        <v>481.2</v>
      </c>
      <c r="H3" s="83">
        <f>($H$2*F3)/60</f>
        <v>511.27499999999998</v>
      </c>
      <c r="I3" s="83">
        <f>(F3*$I$2)/60</f>
        <v>541.35</v>
      </c>
      <c r="J3" s="84">
        <f>(F3*$J$2)/60</f>
        <v>571.42499999999995</v>
      </c>
      <c r="K3" s="84">
        <f>(F3*$K$2)/60</f>
        <v>601.5</v>
      </c>
    </row>
    <row r="4" spans="1:28" x14ac:dyDescent="0.25">
      <c r="A4" s="77">
        <v>2750</v>
      </c>
      <c r="B4" s="77">
        <v>0.75</v>
      </c>
      <c r="C4" s="77">
        <f t="shared" ref="C4:C11" si="0">A4*B4</f>
        <v>2062.5</v>
      </c>
      <c r="F4" s="78">
        <v>4</v>
      </c>
      <c r="G4" s="82">
        <f>($G$2*F4)/60</f>
        <v>641.6</v>
      </c>
      <c r="H4" s="83">
        <f>($H$2*F4)/60</f>
        <v>681.7</v>
      </c>
      <c r="I4" s="83">
        <f>(F4*$I$2)/60</f>
        <v>721.8</v>
      </c>
      <c r="J4" s="84">
        <f>(F4*$J$2)/60</f>
        <v>761.9</v>
      </c>
      <c r="K4" s="84">
        <f>(F4*$K$2)/60</f>
        <v>802</v>
      </c>
    </row>
    <row r="5" spans="1:28" x14ac:dyDescent="0.25">
      <c r="A5" s="77">
        <v>2751</v>
      </c>
      <c r="B5" s="77">
        <v>0.7</v>
      </c>
      <c r="C5" s="77">
        <f t="shared" si="0"/>
        <v>1925.6999999999998</v>
      </c>
      <c r="F5" s="78">
        <v>5</v>
      </c>
      <c r="G5" s="82">
        <f>($G$2*F5)/60</f>
        <v>802</v>
      </c>
      <c r="H5" s="83">
        <f>($H$2*F5)/60</f>
        <v>852.125</v>
      </c>
      <c r="I5" s="83">
        <f>(F5*$I$2)/60</f>
        <v>902.25</v>
      </c>
      <c r="J5" s="84">
        <f>(F5*$J$2)/60</f>
        <v>952.375</v>
      </c>
      <c r="K5" s="84">
        <f>(F5*$K$2)/60</f>
        <v>1002.5</v>
      </c>
    </row>
    <row r="6" spans="1:28" x14ac:dyDescent="0.25">
      <c r="A6" s="77">
        <v>4250</v>
      </c>
      <c r="B6" s="77">
        <v>0.7</v>
      </c>
      <c r="C6" s="77">
        <f t="shared" si="0"/>
        <v>2975</v>
      </c>
      <c r="F6" s="78">
        <v>6</v>
      </c>
      <c r="G6" s="82">
        <f>($G$2*F6)/60</f>
        <v>962.4</v>
      </c>
      <c r="H6" s="83">
        <f>($H$2*F6)/60</f>
        <v>1022.55</v>
      </c>
      <c r="I6" s="83">
        <f>(F6*$I$2)/60</f>
        <v>1082.7</v>
      </c>
      <c r="J6" s="84">
        <f>(F6*$J$2)/60</f>
        <v>1142.8499999999999</v>
      </c>
      <c r="K6" s="84">
        <f>(F6*$K$2)/60</f>
        <v>1203</v>
      </c>
    </row>
    <row r="7" spans="1:28" x14ac:dyDescent="0.25">
      <c r="A7" s="77">
        <v>4251</v>
      </c>
      <c r="B7" s="77">
        <v>0.6</v>
      </c>
      <c r="C7" s="77">
        <f t="shared" si="0"/>
        <v>2550.6</v>
      </c>
      <c r="F7" s="78">
        <v>7</v>
      </c>
      <c r="G7" s="82">
        <f t="shared" ref="G7:G15" si="1">($G$2*F7)/60</f>
        <v>1122.8</v>
      </c>
      <c r="H7" s="83">
        <f t="shared" ref="H7:H15" si="2">($H$2*F7)/60</f>
        <v>1192.9749999999999</v>
      </c>
      <c r="I7" s="83">
        <f t="shared" ref="I7:I15" si="3">(F7*$I$2)/60</f>
        <v>1263.1500000000001</v>
      </c>
      <c r="J7" s="84">
        <f t="shared" ref="J7:J15" si="4">(F7*$J$2)/60</f>
        <v>1333.325</v>
      </c>
      <c r="K7" s="84">
        <f t="shared" ref="K7:K14" si="5">(F7*$K$2)/60</f>
        <v>1403.5</v>
      </c>
      <c r="M7" s="132" t="s">
        <v>82</v>
      </c>
      <c r="N7" s="133"/>
      <c r="O7" s="133"/>
      <c r="P7" s="133"/>
      <c r="Q7" s="133"/>
      <c r="R7" s="133"/>
      <c r="S7" s="133"/>
      <c r="T7" s="133"/>
      <c r="U7" s="133"/>
      <c r="V7" s="134"/>
    </row>
    <row r="8" spans="1:28" x14ac:dyDescent="0.25">
      <c r="A8" s="77">
        <v>5500</v>
      </c>
      <c r="B8" s="77">
        <v>0.6</v>
      </c>
      <c r="C8" s="77">
        <f t="shared" si="0"/>
        <v>3300</v>
      </c>
      <c r="F8" s="78">
        <v>8</v>
      </c>
      <c r="G8" s="82">
        <f t="shared" si="1"/>
        <v>1283.2</v>
      </c>
      <c r="H8" s="83">
        <f t="shared" si="2"/>
        <v>1363.4</v>
      </c>
      <c r="I8" s="83">
        <f t="shared" si="3"/>
        <v>1443.6</v>
      </c>
      <c r="J8" s="84">
        <f t="shared" si="4"/>
        <v>1523.8</v>
      </c>
      <c r="K8" s="84">
        <f t="shared" si="5"/>
        <v>1604</v>
      </c>
      <c r="M8" s="85" t="s">
        <v>63</v>
      </c>
      <c r="N8" s="86" t="e">
        <f>('Data Sheet'!M6*'Data Sheet'!K6)/60</f>
        <v>#VALUE!</v>
      </c>
      <c r="O8" s="85" t="s">
        <v>62</v>
      </c>
      <c r="P8" s="86" t="e">
        <f>(T8+R8)/2</f>
        <v>#VALUE!</v>
      </c>
      <c r="Q8" s="85" t="s">
        <v>81</v>
      </c>
      <c r="R8" s="86">
        <f>IF('Data Sheet'!E9&lt;1500,('Data Sheet'!E9*0.9), IF('Data Sheet'!E9&lt;2500,('Data Sheet'!E9*0.75),IF('Data Sheet'!E9&lt;4000,('Data Sheet'!E9*0.7),IF('Data Sheet'!E9&lt;5000,('Data Sheet'!E9*0.6),('Data Sheet'!E9*0.5)))))</f>
        <v>0</v>
      </c>
      <c r="S8" s="85" t="s">
        <v>61</v>
      </c>
      <c r="T8" s="77" t="e">
        <f>(0.35*18.5*'Data Sheet'!K6)/60</f>
        <v>#VALUE!</v>
      </c>
      <c r="U8" s="87" t="s">
        <v>80</v>
      </c>
      <c r="V8" s="77" t="str">
        <f>IF('Data Sheet'!E9&gt;1,ROUND(MIN(Sheet3!N8:'Sheet3'!P8),0),"")</f>
        <v/>
      </c>
    </row>
    <row r="9" spans="1:28" x14ac:dyDescent="0.25">
      <c r="A9" s="77">
        <v>5501</v>
      </c>
      <c r="B9" s="77">
        <v>0.55000000000000004</v>
      </c>
      <c r="C9" s="77">
        <f t="shared" si="0"/>
        <v>3025.55</v>
      </c>
      <c r="F9" s="78">
        <v>9</v>
      </c>
      <c r="G9" s="88">
        <f t="shared" si="1"/>
        <v>1443.6</v>
      </c>
      <c r="H9" s="89">
        <f t="shared" si="2"/>
        <v>1533.825</v>
      </c>
      <c r="I9" s="89">
        <f t="shared" si="3"/>
        <v>1624.05</v>
      </c>
      <c r="J9" s="90">
        <f t="shared" si="4"/>
        <v>1714.2750000000001</v>
      </c>
      <c r="K9" s="90">
        <f t="shared" si="5"/>
        <v>1804.5</v>
      </c>
      <c r="V9" s="77">
        <f>'Data Sheet'!C6*1</f>
        <v>0</v>
      </c>
    </row>
    <row r="10" spans="1:28" x14ac:dyDescent="0.25">
      <c r="A10" s="77">
        <v>7500</v>
      </c>
      <c r="B10" s="77">
        <v>0.55000000000000004</v>
      </c>
      <c r="C10" s="77">
        <f t="shared" si="0"/>
        <v>4125</v>
      </c>
      <c r="F10" s="78">
        <v>10</v>
      </c>
      <c r="G10" s="88">
        <f t="shared" si="1"/>
        <v>1604</v>
      </c>
      <c r="H10" s="89">
        <f t="shared" si="2"/>
        <v>1704.25</v>
      </c>
      <c r="I10" s="89">
        <f t="shared" si="3"/>
        <v>1804.5</v>
      </c>
      <c r="J10" s="90">
        <f t="shared" si="4"/>
        <v>1904.75</v>
      </c>
      <c r="K10" s="90">
        <f t="shared" si="5"/>
        <v>2005</v>
      </c>
      <c r="V10" s="91" t="str">
        <f>IF(AND('Data Sheet'!C6&gt;0,V8=V9),V8,IF(AND('Data Sheet'!C6&gt;0,Sheet3!V8&lt;Sheet3!V9),Sheet3!V8,IF(AND('Data Sheet'!C6&gt;0,Sheet3!V8&gt;Sheet3!V9),Sheet3!V9,"")))</f>
        <v/>
      </c>
    </row>
    <row r="11" spans="1:28" x14ac:dyDescent="0.25">
      <c r="A11" s="77">
        <v>7501</v>
      </c>
      <c r="B11" s="77">
        <v>0.5</v>
      </c>
      <c r="C11" s="77">
        <f t="shared" si="0"/>
        <v>3750.5</v>
      </c>
      <c r="F11" s="78">
        <v>11</v>
      </c>
      <c r="G11" s="88">
        <f t="shared" si="1"/>
        <v>1764.4</v>
      </c>
      <c r="H11" s="89">
        <f t="shared" si="2"/>
        <v>1874.675</v>
      </c>
      <c r="I11" s="89">
        <f t="shared" si="3"/>
        <v>1984.95</v>
      </c>
      <c r="J11" s="90">
        <f t="shared" si="4"/>
        <v>2095.2249999999999</v>
      </c>
      <c r="K11" s="90">
        <f t="shared" si="5"/>
        <v>2205.5</v>
      </c>
    </row>
    <row r="12" spans="1:28" x14ac:dyDescent="0.25">
      <c r="F12" s="78">
        <v>12</v>
      </c>
      <c r="G12" s="88">
        <f t="shared" si="1"/>
        <v>1924.8</v>
      </c>
      <c r="H12" s="89">
        <f t="shared" si="2"/>
        <v>2045.1</v>
      </c>
      <c r="I12" s="89">
        <f t="shared" si="3"/>
        <v>2165.4</v>
      </c>
      <c r="J12" s="90">
        <f t="shared" si="4"/>
        <v>2285.6999999999998</v>
      </c>
      <c r="K12" s="90">
        <f t="shared" si="5"/>
        <v>2406</v>
      </c>
    </row>
    <row r="13" spans="1:28" x14ac:dyDescent="0.25">
      <c r="A13" s="142" t="s">
        <v>68</v>
      </c>
      <c r="B13" s="142"/>
      <c r="C13" s="142"/>
      <c r="F13" s="78">
        <v>13</v>
      </c>
      <c r="G13" s="88">
        <f t="shared" si="1"/>
        <v>2085.1999999999998</v>
      </c>
      <c r="H13" s="89">
        <f t="shared" si="2"/>
        <v>2215.5250000000001</v>
      </c>
      <c r="I13" s="89">
        <f t="shared" si="3"/>
        <v>2345.85</v>
      </c>
      <c r="J13" s="90">
        <f t="shared" si="4"/>
        <v>2476.1750000000002</v>
      </c>
      <c r="K13" s="90">
        <f t="shared" si="5"/>
        <v>2606.5</v>
      </c>
    </row>
    <row r="14" spans="1:28" x14ac:dyDescent="0.25">
      <c r="A14" s="77">
        <v>1500</v>
      </c>
      <c r="B14" s="77">
        <v>0.9</v>
      </c>
      <c r="C14" s="77">
        <f t="shared" ref="C14:C21" si="6">A14*B14</f>
        <v>1350</v>
      </c>
      <c r="F14" s="78">
        <v>14</v>
      </c>
      <c r="G14" s="88">
        <f t="shared" si="1"/>
        <v>2245.6</v>
      </c>
      <c r="H14" s="89">
        <f t="shared" si="2"/>
        <v>2385.9499999999998</v>
      </c>
      <c r="I14" s="89">
        <f t="shared" si="3"/>
        <v>2526.3000000000002</v>
      </c>
      <c r="J14" s="90">
        <f t="shared" si="4"/>
        <v>2666.65</v>
      </c>
      <c r="K14" s="90">
        <f t="shared" si="5"/>
        <v>2807</v>
      </c>
      <c r="M14" s="77" t="s">
        <v>83</v>
      </c>
    </row>
    <row r="15" spans="1:28" x14ac:dyDescent="0.25">
      <c r="A15" s="77">
        <v>1501</v>
      </c>
      <c r="B15" s="77">
        <v>0.75</v>
      </c>
      <c r="C15" s="77">
        <f t="shared" si="6"/>
        <v>1125.75</v>
      </c>
      <c r="F15" s="92">
        <v>15</v>
      </c>
      <c r="G15" s="93">
        <f t="shared" si="1"/>
        <v>2406</v>
      </c>
      <c r="H15" s="94">
        <f t="shared" si="2"/>
        <v>2556.375</v>
      </c>
      <c r="I15" s="94">
        <f t="shared" si="3"/>
        <v>2706.75</v>
      </c>
      <c r="J15" s="95">
        <f t="shared" si="4"/>
        <v>2857.125</v>
      </c>
      <c r="K15" s="95">
        <f>(F15*$K$2)/60</f>
        <v>3007.5</v>
      </c>
      <c r="M15" s="77" t="s">
        <v>84</v>
      </c>
    </row>
    <row r="16" spans="1:28" x14ac:dyDescent="0.25">
      <c r="A16" s="77">
        <v>2500</v>
      </c>
      <c r="B16" s="77">
        <v>0.75</v>
      </c>
      <c r="C16" s="77">
        <f t="shared" si="6"/>
        <v>1875</v>
      </c>
      <c r="E16" s="135" t="s">
        <v>67</v>
      </c>
      <c r="F16" s="136"/>
      <c r="G16" s="136"/>
      <c r="H16" s="136"/>
      <c r="I16" s="136"/>
      <c r="J16" s="136"/>
      <c r="K16" s="137"/>
      <c r="M16" s="77" t="s">
        <v>85</v>
      </c>
    </row>
    <row r="17" spans="1:13" ht="15" customHeight="1" x14ac:dyDescent="0.25">
      <c r="A17" s="77">
        <v>2501</v>
      </c>
      <c r="B17" s="77">
        <v>0.7</v>
      </c>
      <c r="C17" s="77">
        <f t="shared" si="6"/>
        <v>1750.6999999999998</v>
      </c>
      <c r="E17" s="96"/>
      <c r="F17" s="97" t="s">
        <v>61</v>
      </c>
      <c r="G17" s="98">
        <f>(0.35*18.5*G2)/60</f>
        <v>1038.5899999999999</v>
      </c>
      <c r="H17" s="98">
        <f t="shared" ref="H17:K17" si="7">(0.35*18.5*H2)/60</f>
        <v>1103.5018750000002</v>
      </c>
      <c r="I17" s="98">
        <f t="shared" si="7"/>
        <v>1168.4137499999999</v>
      </c>
      <c r="J17" s="98">
        <f t="shared" si="7"/>
        <v>1233.3256249999999</v>
      </c>
      <c r="K17" s="98">
        <f t="shared" si="7"/>
        <v>1298.2375</v>
      </c>
      <c r="M17" s="77" t="s">
        <v>86</v>
      </c>
    </row>
    <row r="18" spans="1:13" ht="15" customHeight="1" x14ac:dyDescent="0.25">
      <c r="A18" s="77">
        <v>4000</v>
      </c>
      <c r="B18" s="77">
        <v>0.7</v>
      </c>
      <c r="C18" s="77">
        <f t="shared" si="6"/>
        <v>2800</v>
      </c>
      <c r="E18" s="139" t="s">
        <v>69</v>
      </c>
      <c r="F18" s="99">
        <v>1500</v>
      </c>
      <c r="G18" s="100">
        <f>(1500+$G$17)/2</f>
        <v>1269.2950000000001</v>
      </c>
      <c r="H18" s="100">
        <f>(1500+$H$17)/2</f>
        <v>1301.7509375</v>
      </c>
      <c r="I18" s="100">
        <f>(1500+$I$17)/2</f>
        <v>1334.2068749999999</v>
      </c>
      <c r="J18" s="100">
        <f>(1500+$J$17)/2</f>
        <v>1366.6628125</v>
      </c>
      <c r="K18" s="100">
        <f>(1500+$K$17)/2</f>
        <v>1399.1187500000001</v>
      </c>
      <c r="M18" s="77" t="s">
        <v>87</v>
      </c>
    </row>
    <row r="19" spans="1:13" ht="15" customHeight="1" x14ac:dyDescent="0.25">
      <c r="A19" s="77">
        <v>4001</v>
      </c>
      <c r="B19" s="77">
        <v>0.6</v>
      </c>
      <c r="C19" s="77">
        <f t="shared" si="6"/>
        <v>2400.6</v>
      </c>
      <c r="E19" s="140"/>
      <c r="F19" s="99">
        <v>2500</v>
      </c>
      <c r="G19" s="100">
        <f>(1875+$G$17)/2</f>
        <v>1456.7950000000001</v>
      </c>
      <c r="H19" s="100">
        <f>(1875+$H$17)/2</f>
        <v>1489.2509375</v>
      </c>
      <c r="I19" s="100">
        <f>(1875+$I$17)/2</f>
        <v>1521.7068749999999</v>
      </c>
      <c r="J19" s="100">
        <f>(1875+$J$17)/2</f>
        <v>1554.1628125</v>
      </c>
      <c r="K19" s="100">
        <f>(1875+$K$17)/2</f>
        <v>1586.6187500000001</v>
      </c>
      <c r="M19" s="77" t="s">
        <v>88</v>
      </c>
    </row>
    <row r="20" spans="1:13" x14ac:dyDescent="0.25">
      <c r="A20" s="77">
        <v>5000</v>
      </c>
      <c r="B20" s="77">
        <v>0.6</v>
      </c>
      <c r="C20" s="77">
        <f t="shared" si="6"/>
        <v>3000</v>
      </c>
      <c r="E20" s="140"/>
      <c r="F20" s="99">
        <v>3774</v>
      </c>
      <c r="G20" s="100">
        <f>(2641.8+$G$17)/2</f>
        <v>1840.1950000000002</v>
      </c>
      <c r="H20" s="100">
        <f>(2641.8+$H$17)/2</f>
        <v>1872.6509375000001</v>
      </c>
      <c r="I20" s="100">
        <f>(2641.8+$I$17)/2</f>
        <v>1905.1068749999999</v>
      </c>
      <c r="J20" s="100">
        <f>(2641.8+$J$17)/2</f>
        <v>1937.5628125000001</v>
      </c>
      <c r="K20" s="100">
        <f>(2641.8+$K$17)/2</f>
        <v>1970.0187500000002</v>
      </c>
    </row>
    <row r="21" spans="1:13" x14ac:dyDescent="0.25">
      <c r="A21" s="77">
        <v>7501</v>
      </c>
      <c r="B21" s="77">
        <v>0.5</v>
      </c>
      <c r="C21" s="77">
        <f t="shared" si="6"/>
        <v>3750.5</v>
      </c>
      <c r="E21" s="140"/>
      <c r="F21" s="99">
        <v>4500</v>
      </c>
      <c r="G21" s="100">
        <f>(2700+$G$17)/2</f>
        <v>1869.2950000000001</v>
      </c>
      <c r="H21" s="100">
        <f>(2700+$H$17)/2</f>
        <v>1901.7509375</v>
      </c>
      <c r="I21" s="100">
        <f>(2700+$I$17)/2</f>
        <v>1934.2068749999999</v>
      </c>
      <c r="J21" s="100">
        <f>(2700+$J$17)/2</f>
        <v>1966.6628125</v>
      </c>
      <c r="K21" s="100">
        <f>(2700+$K$17)/2</f>
        <v>1999.1187500000001</v>
      </c>
    </row>
    <row r="22" spans="1:13" x14ac:dyDescent="0.25">
      <c r="E22" s="140"/>
      <c r="F22" s="99">
        <v>5500</v>
      </c>
      <c r="G22" s="100">
        <f>(3300+$G$17)/2</f>
        <v>2169.2950000000001</v>
      </c>
      <c r="H22" s="100">
        <f>(3300+$H$17)/2</f>
        <v>2201.7509375</v>
      </c>
      <c r="I22" s="100">
        <f>(3300+$I$17)/2</f>
        <v>2234.2068749999999</v>
      </c>
      <c r="J22" s="100">
        <f>(3300+$J$17)/2</f>
        <v>2266.6628124999997</v>
      </c>
      <c r="K22" s="100">
        <f>(3300+$K$17)/2</f>
        <v>2299.1187500000001</v>
      </c>
    </row>
    <row r="23" spans="1:13" x14ac:dyDescent="0.25">
      <c r="E23" s="140"/>
      <c r="F23" s="99">
        <v>6500</v>
      </c>
      <c r="G23" s="100">
        <f>(3575+$G$17)/2</f>
        <v>2306.7950000000001</v>
      </c>
      <c r="H23" s="100">
        <f>(3575+$H$17)/2</f>
        <v>2339.2509375</v>
      </c>
      <c r="I23" s="100">
        <f>(3575+$I$17)/2</f>
        <v>2371.7068749999999</v>
      </c>
      <c r="J23" s="100">
        <f>(3575+$J$17)/2</f>
        <v>2404.1628124999997</v>
      </c>
      <c r="K23" s="100">
        <f>(3575+$K$17)/2</f>
        <v>2436.6187500000001</v>
      </c>
    </row>
    <row r="24" spans="1:13" x14ac:dyDescent="0.25">
      <c r="E24" s="141"/>
      <c r="F24" s="99">
        <v>7501</v>
      </c>
      <c r="G24" s="100">
        <f>(3750.5+$G$17)/2</f>
        <v>2394.5450000000001</v>
      </c>
      <c r="H24" s="100">
        <f>(3750.5+$H$17)/2</f>
        <v>2427.0009375</v>
      </c>
      <c r="I24" s="100">
        <f>(3750.5+$I$17)/2</f>
        <v>2459.4568749999999</v>
      </c>
      <c r="J24" s="100">
        <f>(3750.5+$J$17)/2</f>
        <v>2491.9128124999997</v>
      </c>
      <c r="K24" s="100">
        <f>(3750.5+$K$17)/2</f>
        <v>2524.3687500000001</v>
      </c>
    </row>
    <row r="26" spans="1:13" x14ac:dyDescent="0.25">
      <c r="E26" s="135" t="s">
        <v>68</v>
      </c>
      <c r="F26" s="136"/>
      <c r="G26" s="136"/>
      <c r="H26" s="136"/>
      <c r="I26" s="136"/>
      <c r="J26" s="136"/>
      <c r="K26" s="137"/>
    </row>
    <row r="27" spans="1:13" x14ac:dyDescent="0.25">
      <c r="E27" s="96"/>
      <c r="F27" s="97" t="s">
        <v>61</v>
      </c>
      <c r="G27" s="98">
        <f>(0.35*18.5*G2)/60</f>
        <v>1038.5899999999999</v>
      </c>
      <c r="H27" s="98">
        <f>(0.35*18.5*H2)/60</f>
        <v>1103.5018750000002</v>
      </c>
      <c r="I27" s="98">
        <f>(0.35*18.5*I2)/60</f>
        <v>1168.4137499999999</v>
      </c>
      <c r="J27" s="98">
        <f>(0.35*18.5*J2)/60</f>
        <v>1233.3256249999999</v>
      </c>
      <c r="K27" s="98">
        <f>(0.35*18.5*K2)/60</f>
        <v>1298.2375</v>
      </c>
    </row>
    <row r="28" spans="1:13" x14ac:dyDescent="0.25">
      <c r="E28" s="138" t="s">
        <v>69</v>
      </c>
      <c r="F28" s="99">
        <v>1500</v>
      </c>
      <c r="G28" s="100">
        <f>(1350+$G$17)/2</f>
        <v>1194.2950000000001</v>
      </c>
      <c r="H28" s="100">
        <f>(1350+$H$17)/2</f>
        <v>1226.7509375</v>
      </c>
      <c r="I28" s="100">
        <f>(1350+$I$17)/2</f>
        <v>1259.2068749999999</v>
      </c>
      <c r="J28" s="100">
        <f>(1350+$J$17)/2</f>
        <v>1291.6628125</v>
      </c>
      <c r="K28" s="100">
        <f>(1350+$K$17)/2</f>
        <v>1324.1187500000001</v>
      </c>
    </row>
    <row r="29" spans="1:13" ht="15" customHeight="1" x14ac:dyDescent="0.25">
      <c r="E29" s="138"/>
      <c r="F29" s="99">
        <v>2500</v>
      </c>
      <c r="G29" s="100">
        <f>(1875+$G$17)/2</f>
        <v>1456.7950000000001</v>
      </c>
      <c r="H29" s="100">
        <f>(1875+$H$17)/2</f>
        <v>1489.2509375</v>
      </c>
      <c r="I29" s="100">
        <f>(1875+$I$17)/2</f>
        <v>1521.7068749999999</v>
      </c>
      <c r="J29" s="100">
        <f>(1875+$J$17)/2</f>
        <v>1554.1628125</v>
      </c>
      <c r="K29" s="100">
        <f>(1875+$K$17)/2</f>
        <v>1586.6187500000001</v>
      </c>
    </row>
    <row r="30" spans="1:13" x14ac:dyDescent="0.25">
      <c r="E30" s="138"/>
      <c r="F30" s="99">
        <v>3774</v>
      </c>
      <c r="G30" s="100">
        <f>(2641.8+$G$17)/2</f>
        <v>1840.1950000000002</v>
      </c>
      <c r="H30" s="100">
        <f>(2641.8+$H$17)/2</f>
        <v>1872.6509375000001</v>
      </c>
      <c r="I30" s="100">
        <f>(2641.8+$I$17)/2</f>
        <v>1905.1068749999999</v>
      </c>
      <c r="J30" s="100">
        <f>(2641.8+$J$17)/2</f>
        <v>1937.5628125000001</v>
      </c>
      <c r="K30" s="100">
        <f>(2641.8+$K$17)/2</f>
        <v>1970.0187500000002</v>
      </c>
    </row>
    <row r="31" spans="1:13" x14ac:dyDescent="0.25">
      <c r="E31" s="138"/>
      <c r="F31" s="99">
        <v>4500</v>
      </c>
      <c r="G31" s="100">
        <f>(2700+$G$17)/2</f>
        <v>1869.2950000000001</v>
      </c>
      <c r="H31" s="100">
        <f>(2700+$H$17)/2</f>
        <v>1901.7509375</v>
      </c>
      <c r="I31" s="100">
        <f>(2700+$I$17)/2</f>
        <v>1934.2068749999999</v>
      </c>
      <c r="J31" s="100">
        <f>(2700+$J$17)/2</f>
        <v>1966.6628125</v>
      </c>
      <c r="K31" s="100">
        <f>(2700+$K$17)/2</f>
        <v>1999.1187500000001</v>
      </c>
    </row>
    <row r="32" spans="1:13" x14ac:dyDescent="0.25">
      <c r="E32" s="138"/>
      <c r="F32" s="99">
        <v>5500</v>
      </c>
      <c r="G32" s="100">
        <f>(2750+$G$17)/2</f>
        <v>1894.2950000000001</v>
      </c>
      <c r="H32" s="100">
        <f>(2750+$H$17)/2</f>
        <v>1926.7509375</v>
      </c>
      <c r="I32" s="100">
        <f>(2750+$I$17)/2</f>
        <v>1959.2068749999999</v>
      </c>
      <c r="J32" s="100">
        <f>(2750+$J$17)/2</f>
        <v>1991.6628125</v>
      </c>
      <c r="K32" s="100">
        <f>(2750+$K$17)/2</f>
        <v>2024.1187500000001</v>
      </c>
    </row>
    <row r="33" spans="5:11" x14ac:dyDescent="0.25">
      <c r="E33" s="138"/>
      <c r="F33" s="99">
        <v>6500</v>
      </c>
      <c r="G33" s="100">
        <f>(3250+$G$17)/2</f>
        <v>2144.2950000000001</v>
      </c>
      <c r="H33" s="100">
        <f>(3250+$H$17)/2</f>
        <v>2176.7509375</v>
      </c>
      <c r="I33" s="100">
        <f>(3250+$I$17)/2</f>
        <v>2209.2068749999999</v>
      </c>
      <c r="J33" s="100">
        <f>(3250+$J$17)/2</f>
        <v>2241.6628124999997</v>
      </c>
      <c r="K33" s="100">
        <f>(3250+$K$17)/2</f>
        <v>2274.1187500000001</v>
      </c>
    </row>
    <row r="34" spans="5:11" x14ac:dyDescent="0.25">
      <c r="E34" s="138"/>
      <c r="F34" s="99">
        <v>7501</v>
      </c>
      <c r="G34" s="100">
        <f>(3750.5+$G$17)/2</f>
        <v>2394.5450000000001</v>
      </c>
      <c r="H34" s="100">
        <f>(3750.5+$H$17)/2</f>
        <v>2427.0009375</v>
      </c>
      <c r="I34" s="100">
        <f>(3750.5+$I$17)/2</f>
        <v>2459.4568749999999</v>
      </c>
      <c r="J34" s="100">
        <f>(3750.5+$J$17)/2</f>
        <v>2491.9128124999997</v>
      </c>
      <c r="K34" s="100">
        <f>(3750.5+$K$17)/2</f>
        <v>2524.3687500000001</v>
      </c>
    </row>
    <row r="35" spans="5:11" x14ac:dyDescent="0.25">
      <c r="E35" s="101"/>
    </row>
  </sheetData>
  <sheetProtection algorithmName="SHA-512" hashValue="YFVKNefywO1XlYtv0hyKiams4kZohs6TZjElrJGcrpQyEEGbf1H2XLAbX8PwxJzIfQCosw3VJC3vakjQwgA7tw==" saltValue="/RUaMEmnbcHdSrGxdE6/0A==" spinCount="100000" sheet="1" objects="1" scenarios="1" selectLockedCells="1"/>
  <customSheetViews>
    <customSheetView guid="{6BA93A1E-DA3F-4332-8827-B6316607DEBE}" hiddenColumns="1" state="hidden" topLeftCell="AB1">
      <selection activeCell="AB1" sqref="AB1"/>
      <pageMargins left="0.7" right="0.7" top="0.75" bottom="0.75" header="0.3" footer="0.3"/>
      <pageSetup orientation="portrait" r:id="rId1"/>
    </customSheetView>
    <customSheetView guid="{96E0CE35-E0EB-45AA-9D9A-2D49B43AC525}" hiddenColumns="1" state="hidden" topLeftCell="AB1">
      <selection activeCell="AB1" sqref="AB1"/>
      <pageMargins left="0.7" right="0.7" top="0.75" bottom="0.75" header="0.3" footer="0.3"/>
      <pageSetup orientation="portrait" r:id="rId2"/>
    </customSheetView>
  </customSheetViews>
  <mergeCells count="7">
    <mergeCell ref="M7:V7"/>
    <mergeCell ref="E26:K26"/>
    <mergeCell ref="E28:E34"/>
    <mergeCell ref="E18:E24"/>
    <mergeCell ref="A1:C1"/>
    <mergeCell ref="A13:C13"/>
    <mergeCell ref="E16:K16"/>
  </mergeCell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Sheet</vt:lpstr>
      <vt:lpstr>Target Policies</vt:lpstr>
      <vt:lpstr>Sheet3</vt:lpstr>
    </vt:vector>
  </TitlesOfParts>
  <Company>BVCAA,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Blower Door/Duct Blaster Form</dc:title>
  <dc:subject>Blower Door/Duct Blaster</dc:subject>
  <dc:creator>TDHCA</dc:creator>
  <cp:lastModifiedBy>Evan Brown</cp:lastModifiedBy>
  <cp:lastPrinted>2022-08-04T22:43:59Z</cp:lastPrinted>
  <dcterms:created xsi:type="dcterms:W3CDTF">2017-01-04T21:28:24Z</dcterms:created>
  <dcterms:modified xsi:type="dcterms:W3CDTF">2023-10-02T16:24:46Z</dcterms:modified>
</cp:coreProperties>
</file>