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00" yWindow="60" windowWidth="19320" windowHeight="11760"/>
  </bookViews>
  <sheets>
    <sheet name="CEILING" sheetId="2" r:id="rId1"/>
    <sheet name="App Log" sheetId="1" r:id="rId2"/>
    <sheet name="DB Link APP" sheetId="4" r:id="rId3"/>
    <sheet name="REA-PPR" sheetId="6" r:id="rId4"/>
    <sheet name="UW Rec Amts" sheetId="5" r:id="rId5"/>
  </sheets>
  <definedNames>
    <definedName name="_xlnm._FilterDatabase" localSheetId="2" hidden="1">'DB Link APP'!$A$2:$U$103</definedName>
    <definedName name="_xlnm.Print_Area" localSheetId="1">'App Log'!$C$1:$X$324</definedName>
    <definedName name="_xlnm.Print_Area" localSheetId="0">CEILING!$A$21:$R$72</definedName>
    <definedName name="_xlnm.Print_Titles" localSheetId="1">'App Log'!$10:$10</definedName>
    <definedName name="_xlnm.Print_Titles" localSheetId="4">'UW Rec Amts'!$1:$1</definedName>
  </definedNames>
  <calcPr calcId="125725" concurrentCalc="0"/>
</workbook>
</file>

<file path=xl/calcChain.xml><?xml version="1.0" encoding="utf-8"?>
<calcChain xmlns="http://schemas.openxmlformats.org/spreadsheetml/2006/main">
  <c r="D14" i="5"/>
  <c r="L37" i="1"/>
  <c r="P37"/>
  <c r="P41"/>
  <c r="Z27" i="2"/>
  <c r="D21" i="5"/>
  <c r="L55" i="1"/>
  <c r="P55"/>
  <c r="P58"/>
  <c r="Z28" i="2"/>
  <c r="Z29"/>
  <c r="Z30"/>
  <c r="D58" i="5"/>
  <c r="L130" i="1"/>
  <c r="P130"/>
  <c r="P132"/>
  <c r="Z31" i="2"/>
  <c r="Z32"/>
  <c r="D96" i="5"/>
  <c r="L192" i="1"/>
  <c r="P192"/>
  <c r="P196"/>
  <c r="Z33" i="2"/>
  <c r="Z34"/>
  <c r="Z35"/>
  <c r="D111" i="5"/>
  <c r="L246" i="1"/>
  <c r="P246"/>
  <c r="P249"/>
  <c r="Z36" i="2"/>
  <c r="B124" i="5"/>
  <c r="D124"/>
  <c r="L267" i="1"/>
  <c r="P267"/>
  <c r="P277"/>
  <c r="Z37" i="2"/>
  <c r="Z38"/>
  <c r="D141" i="5"/>
  <c r="L309" i="1"/>
  <c r="P309"/>
  <c r="P313"/>
  <c r="Z39" i="2"/>
  <c r="Z41"/>
  <c r="Z42"/>
  <c r="Z43"/>
  <c r="Z44"/>
  <c r="Z45"/>
  <c r="Z46"/>
  <c r="Z47"/>
  <c r="Z48"/>
  <c r="Z49"/>
  <c r="Z50"/>
  <c r="Z51"/>
  <c r="Z52"/>
  <c r="Z53"/>
  <c r="Z54"/>
  <c r="D11" i="5"/>
  <c r="L30" i="1"/>
  <c r="O30"/>
  <c r="O32"/>
  <c r="W41" i="2"/>
  <c r="D17" i="5"/>
  <c r="L47" i="1"/>
  <c r="O47"/>
  <c r="O51"/>
  <c r="W42" i="2"/>
  <c r="D24" i="5"/>
  <c r="L64" i="1"/>
  <c r="O64"/>
  <c r="O67"/>
  <c r="W43" i="2"/>
  <c r="W44"/>
  <c r="D57" i="5"/>
  <c r="L123" i="1"/>
  <c r="O123"/>
  <c r="O125"/>
  <c r="W45" i="2"/>
  <c r="D60" i="5"/>
  <c r="L137" i="1"/>
  <c r="O137"/>
  <c r="O140"/>
  <c r="W46" i="2"/>
  <c r="W47"/>
  <c r="D97" i="5"/>
  <c r="L201" i="1"/>
  <c r="O201"/>
  <c r="O203"/>
  <c r="W48" i="2"/>
  <c r="D99" i="5"/>
  <c r="L216" i="1"/>
  <c r="O216"/>
  <c r="O218"/>
  <c r="W49" i="2"/>
  <c r="W50"/>
  <c r="D116" i="5"/>
  <c r="L255" i="1"/>
  <c r="O255"/>
  <c r="O258"/>
  <c r="W51" i="2"/>
  <c r="D130" i="5"/>
  <c r="L282" i="1"/>
  <c r="O282"/>
  <c r="O286"/>
  <c r="W52" i="2"/>
  <c r="D134" i="5"/>
  <c r="L300" i="1"/>
  <c r="O300"/>
  <c r="O302"/>
  <c r="W53" i="2"/>
  <c r="W54"/>
  <c r="K35" i="1"/>
  <c r="M37"/>
  <c r="N37"/>
  <c r="B13" i="5"/>
  <c r="D13"/>
  <c r="L38" i="1"/>
  <c r="M38"/>
  <c r="N38"/>
  <c r="B15" i="5"/>
  <c r="D15"/>
  <c r="L39" i="1"/>
  <c r="M39"/>
  <c r="N39"/>
  <c r="N41"/>
  <c r="T27" i="2"/>
  <c r="K53" i="1"/>
  <c r="M55"/>
  <c r="N55"/>
  <c r="B20" i="5"/>
  <c r="D20"/>
  <c r="L56" i="1"/>
  <c r="M56"/>
  <c r="N56"/>
  <c r="N58"/>
  <c r="T28" i="2"/>
  <c r="D49" i="5"/>
  <c r="L72" i="1"/>
  <c r="K70"/>
  <c r="M72"/>
  <c r="N72"/>
  <c r="D27" i="5"/>
  <c r="L73" i="1"/>
  <c r="M73"/>
  <c r="N73"/>
  <c r="D42" i="5"/>
  <c r="L74" i="1"/>
  <c r="M74"/>
  <c r="N74"/>
  <c r="D32" i="5"/>
  <c r="L75" i="1"/>
  <c r="M75"/>
  <c r="N75"/>
  <c r="D30" i="5"/>
  <c r="L76" i="1"/>
  <c r="M76"/>
  <c r="N76"/>
  <c r="D43" i="5"/>
  <c r="L77" i="1"/>
  <c r="M77"/>
  <c r="N77"/>
  <c r="B37" i="5"/>
  <c r="D37"/>
  <c r="L78" i="1"/>
  <c r="M78"/>
  <c r="N78"/>
  <c r="M79"/>
  <c r="N79"/>
  <c r="M80"/>
  <c r="N80"/>
  <c r="M81"/>
  <c r="N81"/>
  <c r="M82"/>
  <c r="N82"/>
  <c r="D26" i="5"/>
  <c r="L83" i="1"/>
  <c r="M83"/>
  <c r="N83"/>
  <c r="M84"/>
  <c r="N84"/>
  <c r="D39" i="5"/>
  <c r="L85" i="1"/>
  <c r="M85"/>
  <c r="N85"/>
  <c r="D45" i="5"/>
  <c r="L86" i="1"/>
  <c r="M86"/>
  <c r="N86"/>
  <c r="L87"/>
  <c r="M87"/>
  <c r="N87"/>
  <c r="B46" i="5"/>
  <c r="D46"/>
  <c r="L88" i="1"/>
  <c r="M88"/>
  <c r="N88"/>
  <c r="B47" i="5"/>
  <c r="D47"/>
  <c r="L89" i="1"/>
  <c r="M89"/>
  <c r="N89"/>
  <c r="M90"/>
  <c r="N90"/>
  <c r="M91"/>
  <c r="N91"/>
  <c r="B48" i="5"/>
  <c r="D48"/>
  <c r="L92" i="1"/>
  <c r="M92"/>
  <c r="N92"/>
  <c r="B25" i="5"/>
  <c r="D25"/>
  <c r="L93" i="1"/>
  <c r="M93"/>
  <c r="N93"/>
  <c r="B34" i="5"/>
  <c r="D34"/>
  <c r="L94" i="1"/>
  <c r="M94"/>
  <c r="N94"/>
  <c r="B35" i="5"/>
  <c r="D35"/>
  <c r="L95" i="1"/>
  <c r="M95"/>
  <c r="N95"/>
  <c r="B40" i="5"/>
  <c r="D40"/>
  <c r="L96" i="1"/>
  <c r="M96"/>
  <c r="N96"/>
  <c r="D31" i="5"/>
  <c r="L97" i="1"/>
  <c r="M97"/>
  <c r="N97"/>
  <c r="N99"/>
  <c r="T29" i="2"/>
  <c r="D55" i="5"/>
  <c r="L113" i="1"/>
  <c r="K111"/>
  <c r="M113"/>
  <c r="N113"/>
  <c r="D54" i="5"/>
  <c r="L114" i="1"/>
  <c r="M114"/>
  <c r="N114"/>
  <c r="B53" i="5"/>
  <c r="D53"/>
  <c r="L115" i="1"/>
  <c r="M115"/>
  <c r="N115"/>
  <c r="N117"/>
  <c r="T30" i="2"/>
  <c r="K128" i="1"/>
  <c r="M130"/>
  <c r="N130"/>
  <c r="N132"/>
  <c r="T31" i="2"/>
  <c r="B72" i="5"/>
  <c r="D72"/>
  <c r="L145" i="1"/>
  <c r="K143"/>
  <c r="M145"/>
  <c r="N145"/>
  <c r="D80" i="5"/>
  <c r="L146" i="1"/>
  <c r="M146"/>
  <c r="N146"/>
  <c r="D84" i="5"/>
  <c r="L147" i="1"/>
  <c r="M147"/>
  <c r="N147"/>
  <c r="D83" i="5"/>
  <c r="L148" i="1"/>
  <c r="M148"/>
  <c r="N148"/>
  <c r="D61" i="5"/>
  <c r="L149" i="1"/>
  <c r="M149"/>
  <c r="N149"/>
  <c r="D85" i="5"/>
  <c r="L150" i="1"/>
  <c r="M150"/>
  <c r="N150"/>
  <c r="M151"/>
  <c r="N151"/>
  <c r="D66" i="5"/>
  <c r="L152" i="1"/>
  <c r="M152"/>
  <c r="N152"/>
  <c r="D68" i="5"/>
  <c r="L153" i="1"/>
  <c r="M153"/>
  <c r="N153"/>
  <c r="M154"/>
  <c r="N154"/>
  <c r="D70" i="5"/>
  <c r="L155" i="1"/>
  <c r="M155"/>
  <c r="N155"/>
  <c r="M156"/>
  <c r="N156"/>
  <c r="M157"/>
  <c r="N157"/>
  <c r="M158"/>
  <c r="N158"/>
  <c r="D77" i="5"/>
  <c r="L159" i="1"/>
  <c r="M159"/>
  <c r="N159"/>
  <c r="B69" i="5"/>
  <c r="D69"/>
  <c r="L160" i="1"/>
  <c r="M160"/>
  <c r="N160"/>
  <c r="B79" i="5"/>
  <c r="D79"/>
  <c r="L161" i="1"/>
  <c r="M161"/>
  <c r="N161"/>
  <c r="B78" i="5"/>
  <c r="D78"/>
  <c r="L162" i="1"/>
  <c r="M162"/>
  <c r="N162"/>
  <c r="B87" i="5"/>
  <c r="D87"/>
  <c r="L163" i="1"/>
  <c r="M163"/>
  <c r="N163"/>
  <c r="B64" i="5"/>
  <c r="D64"/>
  <c r="L165" i="1"/>
  <c r="M165"/>
  <c r="N165"/>
  <c r="B63" i="5"/>
  <c r="D63"/>
  <c r="L166" i="1"/>
  <c r="M166"/>
  <c r="N166"/>
  <c r="B86" i="5"/>
  <c r="D86"/>
  <c r="L167" i="1"/>
  <c r="M167"/>
  <c r="N167"/>
  <c r="B62" i="5"/>
  <c r="D62"/>
  <c r="L168" i="1"/>
  <c r="M168"/>
  <c r="N168"/>
  <c r="B76" i="5"/>
  <c r="D76"/>
  <c r="L169" i="1"/>
  <c r="M169"/>
  <c r="N169"/>
  <c r="B81" i="5"/>
  <c r="D81"/>
  <c r="L170" i="1"/>
  <c r="M170"/>
  <c r="N170"/>
  <c r="B74" i="5"/>
  <c r="D74"/>
  <c r="L171" i="1"/>
  <c r="M171"/>
  <c r="N171"/>
  <c r="B82" i="5"/>
  <c r="D82"/>
  <c r="L172" i="1"/>
  <c r="M172"/>
  <c r="N172"/>
  <c r="B88" i="5"/>
  <c r="D88"/>
  <c r="L173" i="1"/>
  <c r="M173"/>
  <c r="N173"/>
  <c r="N175"/>
  <c r="T32" i="2"/>
  <c r="D91" i="5"/>
  <c r="L188" i="1"/>
  <c r="K186"/>
  <c r="M188"/>
  <c r="N188"/>
  <c r="D93" i="5"/>
  <c r="L189" i="1"/>
  <c r="M189"/>
  <c r="N189"/>
  <c r="D94" i="5"/>
  <c r="L190" i="1"/>
  <c r="M190"/>
  <c r="N190"/>
  <c r="L191"/>
  <c r="M191"/>
  <c r="N191"/>
  <c r="M192"/>
  <c r="N192"/>
  <c r="B95" i="5"/>
  <c r="D95"/>
  <c r="L193" i="1"/>
  <c r="M193"/>
  <c r="N193"/>
  <c r="B92" i="5"/>
  <c r="D92"/>
  <c r="L194" i="1"/>
  <c r="M194"/>
  <c r="N194"/>
  <c r="N196"/>
  <c r="T33" i="2"/>
  <c r="D98" i="5"/>
  <c r="L208" i="1"/>
  <c r="K206"/>
  <c r="M208"/>
  <c r="N208"/>
  <c r="N210"/>
  <c r="T34" i="2"/>
  <c r="D105" i="5"/>
  <c r="L223" i="1"/>
  <c r="K221"/>
  <c r="M223"/>
  <c r="N223"/>
  <c r="D104" i="5"/>
  <c r="L224" i="1"/>
  <c r="M224"/>
  <c r="N224"/>
  <c r="D107" i="5"/>
  <c r="L225" i="1"/>
  <c r="M225"/>
  <c r="N225"/>
  <c r="D109" i="5"/>
  <c r="L226" i="1"/>
  <c r="M226"/>
  <c r="N226"/>
  <c r="M227"/>
  <c r="N227"/>
  <c r="M228"/>
  <c r="N228"/>
  <c r="B103" i="5"/>
  <c r="D103"/>
  <c r="L229" i="1"/>
  <c r="M229"/>
  <c r="N229"/>
  <c r="B106" i="5"/>
  <c r="D106"/>
  <c r="L230" i="1"/>
  <c r="M230"/>
  <c r="N230"/>
  <c r="B108" i="5"/>
  <c r="D108"/>
  <c r="L231" i="1"/>
  <c r="M231"/>
  <c r="N231"/>
  <c r="N233"/>
  <c r="T35" i="2"/>
  <c r="D112" i="5"/>
  <c r="L245" i="1"/>
  <c r="K243"/>
  <c r="M245"/>
  <c r="N245"/>
  <c r="M246"/>
  <c r="N246"/>
  <c r="B113" i="5"/>
  <c r="D113"/>
  <c r="L247" i="1"/>
  <c r="M247"/>
  <c r="N247"/>
  <c r="N249"/>
  <c r="T36" i="2"/>
  <c r="D127" i="5"/>
  <c r="L263" i="1"/>
  <c r="K261"/>
  <c r="M263"/>
  <c r="N263"/>
  <c r="D126" i="5"/>
  <c r="L264" i="1"/>
  <c r="M264"/>
  <c r="N264"/>
  <c r="D119" i="5"/>
  <c r="L265" i="1"/>
  <c r="M265"/>
  <c r="N265"/>
  <c r="D122" i="5"/>
  <c r="L266" i="1"/>
  <c r="M266"/>
  <c r="N266"/>
  <c r="M267"/>
  <c r="N267"/>
  <c r="B118" i="5"/>
  <c r="D118"/>
  <c r="L268" i="1"/>
  <c r="M268"/>
  <c r="N268"/>
  <c r="B120" i="5"/>
  <c r="D120"/>
  <c r="L269" i="1"/>
  <c r="M269"/>
  <c r="N269"/>
  <c r="B121" i="5"/>
  <c r="D121"/>
  <c r="L270" i="1"/>
  <c r="M270"/>
  <c r="N270"/>
  <c r="B123" i="5"/>
  <c r="D123"/>
  <c r="L271" i="1"/>
  <c r="M271"/>
  <c r="N271"/>
  <c r="B128" i="5"/>
  <c r="D128"/>
  <c r="L272" i="1"/>
  <c r="M272"/>
  <c r="N272"/>
  <c r="B125" i="5"/>
  <c r="D125"/>
  <c r="L273" i="1"/>
  <c r="M273"/>
  <c r="N273"/>
  <c r="B117" i="5"/>
  <c r="D117"/>
  <c r="L274" i="1"/>
  <c r="N274"/>
  <c r="N277"/>
  <c r="T37" i="2"/>
  <c r="D132" i="5"/>
  <c r="L291" i="1"/>
  <c r="K289"/>
  <c r="M291"/>
  <c r="N291"/>
  <c r="L292"/>
  <c r="M292"/>
  <c r="N292"/>
  <c r="B133" i="5"/>
  <c r="D133"/>
  <c r="L293" i="1"/>
  <c r="N293"/>
  <c r="N295"/>
  <c r="T38" i="2"/>
  <c r="D135" i="5"/>
  <c r="L307" i="1"/>
  <c r="K305"/>
  <c r="M307"/>
  <c r="N307"/>
  <c r="D137" i="5"/>
  <c r="L308" i="1"/>
  <c r="M308"/>
  <c r="N308"/>
  <c r="M309"/>
  <c r="N309"/>
  <c r="B136" i="5"/>
  <c r="D136"/>
  <c r="L310" i="1"/>
  <c r="M310"/>
  <c r="N310"/>
  <c r="B142" i="5"/>
  <c r="D142"/>
  <c r="L311" i="1"/>
  <c r="M311"/>
  <c r="N311"/>
  <c r="N313"/>
  <c r="T39" i="2"/>
  <c r="D12" i="5"/>
  <c r="L29" i="1"/>
  <c r="K27"/>
  <c r="M29"/>
  <c r="N29"/>
  <c r="M30"/>
  <c r="N30"/>
  <c r="N32"/>
  <c r="T41" i="2"/>
  <c r="D18" i="5"/>
  <c r="L46" i="1"/>
  <c r="K44"/>
  <c r="M46"/>
  <c r="N46"/>
  <c r="M47"/>
  <c r="N47"/>
  <c r="B16" i="5"/>
  <c r="D16"/>
  <c r="L48" i="1"/>
  <c r="M48"/>
  <c r="N48"/>
  <c r="B19" i="5"/>
  <c r="D19"/>
  <c r="L49" i="1"/>
  <c r="M49"/>
  <c r="N49"/>
  <c r="N51"/>
  <c r="T42" i="2"/>
  <c r="D22" i="5"/>
  <c r="L63" i="1"/>
  <c r="K61"/>
  <c r="M63"/>
  <c r="N63"/>
  <c r="M64"/>
  <c r="N64"/>
  <c r="B23" i="5"/>
  <c r="D23"/>
  <c r="L65" i="1"/>
  <c r="M65"/>
  <c r="N65"/>
  <c r="N67"/>
  <c r="T43" i="2"/>
  <c r="D51" i="5"/>
  <c r="L104" i="1"/>
  <c r="K102"/>
  <c r="M104"/>
  <c r="N104"/>
  <c r="B52" i="5"/>
  <c r="D52"/>
  <c r="L105" i="1"/>
  <c r="M105"/>
  <c r="N105"/>
  <c r="B50" i="5"/>
  <c r="D50"/>
  <c r="L106" i="1"/>
  <c r="M106"/>
  <c r="N106"/>
  <c r="N108"/>
  <c r="T44" i="2"/>
  <c r="D56" i="5"/>
  <c r="L122" i="1"/>
  <c r="K120"/>
  <c r="M122"/>
  <c r="N122"/>
  <c r="M123"/>
  <c r="N123"/>
  <c r="N125"/>
  <c r="T45" i="2"/>
  <c r="K135" i="1"/>
  <c r="M137"/>
  <c r="N137"/>
  <c r="D59" i="5"/>
  <c r="L138" i="1"/>
  <c r="M138"/>
  <c r="N138"/>
  <c r="N140"/>
  <c r="T46" i="2"/>
  <c r="D90" i="5"/>
  <c r="L180" i="1"/>
  <c r="K178"/>
  <c r="M180"/>
  <c r="N180"/>
  <c r="D89" i="5"/>
  <c r="L181" i="1"/>
  <c r="M181"/>
  <c r="N181"/>
  <c r="N183"/>
  <c r="T47" i="2"/>
  <c r="K199" i="1"/>
  <c r="M201"/>
  <c r="N201"/>
  <c r="N203"/>
  <c r="T48" i="2"/>
  <c r="D100" i="5"/>
  <c r="L215" i="1"/>
  <c r="K213"/>
  <c r="M215"/>
  <c r="N215"/>
  <c r="M216"/>
  <c r="N216"/>
  <c r="N218"/>
  <c r="T49" i="2"/>
  <c r="D110" i="5"/>
  <c r="L238" i="1"/>
  <c r="K236"/>
  <c r="M238"/>
  <c r="N238"/>
  <c r="N240"/>
  <c r="T50" i="2"/>
  <c r="D115" i="5"/>
  <c r="L254" i="1"/>
  <c r="K252"/>
  <c r="M254"/>
  <c r="N254"/>
  <c r="M255"/>
  <c r="N255"/>
  <c r="N258"/>
  <c r="T51" i="2"/>
  <c r="K280" i="1"/>
  <c r="M282"/>
  <c r="N282"/>
  <c r="B129" i="5"/>
  <c r="D129"/>
  <c r="L283" i="1"/>
  <c r="M283"/>
  <c r="N283"/>
  <c r="B131" i="5"/>
  <c r="D131"/>
  <c r="L284" i="1"/>
  <c r="N284"/>
  <c r="N286"/>
  <c r="T52" i="2"/>
  <c r="K298" i="1"/>
  <c r="M300"/>
  <c r="N300"/>
  <c r="N302"/>
  <c r="T53" i="2"/>
  <c r="T54"/>
  <c r="Q33"/>
  <c r="D4" i="5"/>
  <c r="L38" i="2"/>
  <c r="F292" i="1"/>
  <c r="D292"/>
  <c r="E292"/>
  <c r="I292"/>
  <c r="J292"/>
  <c r="K292"/>
  <c r="L33" i="2"/>
  <c r="F191" i="1"/>
  <c r="D191"/>
  <c r="E191"/>
  <c r="J191"/>
  <c r="K191"/>
  <c r="I139" i="5"/>
  <c r="I140"/>
  <c r="D139"/>
  <c r="D140"/>
  <c r="Q29" i="2"/>
  <c r="D138" i="5"/>
  <c r="I138"/>
  <c r="F87" i="1"/>
  <c r="D87"/>
  <c r="E87"/>
  <c r="I87"/>
  <c r="J87"/>
  <c r="K87"/>
  <c r="K22"/>
  <c r="J311"/>
  <c r="J310"/>
  <c r="J309"/>
  <c r="J308"/>
  <c r="J307"/>
  <c r="J300"/>
  <c r="J293"/>
  <c r="J291"/>
  <c r="J283"/>
  <c r="J282"/>
  <c r="J272"/>
  <c r="J271"/>
  <c r="J270"/>
  <c r="J269"/>
  <c r="J268"/>
  <c r="J267"/>
  <c r="J266"/>
  <c r="J265"/>
  <c r="J264"/>
  <c r="J263"/>
  <c r="J256"/>
  <c r="J255"/>
  <c r="J254"/>
  <c r="J247"/>
  <c r="J246"/>
  <c r="J245"/>
  <c r="J238"/>
  <c r="J228"/>
  <c r="J227"/>
  <c r="J226"/>
  <c r="J225"/>
  <c r="J224"/>
  <c r="J223"/>
  <c r="J216"/>
  <c r="J215"/>
  <c r="J208"/>
  <c r="J201"/>
  <c r="J193"/>
  <c r="J192"/>
  <c r="J190"/>
  <c r="J189"/>
  <c r="J188"/>
  <c r="J181"/>
  <c r="J180"/>
  <c r="J165"/>
  <c r="J163"/>
  <c r="J162"/>
  <c r="J161"/>
  <c r="J160"/>
  <c r="J159"/>
  <c r="J158"/>
  <c r="J157"/>
  <c r="J156"/>
  <c r="J155"/>
  <c r="J154"/>
  <c r="J153"/>
  <c r="J152"/>
  <c r="J151"/>
  <c r="J150"/>
  <c r="J149"/>
  <c r="J148"/>
  <c r="J147"/>
  <c r="J146"/>
  <c r="J145"/>
  <c r="J138"/>
  <c r="J137"/>
  <c r="J130"/>
  <c r="J123"/>
  <c r="J122"/>
  <c r="J114"/>
  <c r="J113"/>
  <c r="J104"/>
  <c r="J89"/>
  <c r="J88"/>
  <c r="J86"/>
  <c r="J85"/>
  <c r="J84"/>
  <c r="J83"/>
  <c r="J82"/>
  <c r="J81"/>
  <c r="J80"/>
  <c r="J79"/>
  <c r="J78"/>
  <c r="J77"/>
  <c r="J76"/>
  <c r="J75"/>
  <c r="J74"/>
  <c r="J73"/>
  <c r="J72"/>
  <c r="J65"/>
  <c r="J64"/>
  <c r="J63"/>
  <c r="J56"/>
  <c r="J55"/>
  <c r="J49"/>
  <c r="J48"/>
  <c r="J47"/>
  <c r="J46"/>
  <c r="J39"/>
  <c r="J38"/>
  <c r="J37"/>
  <c r="J30"/>
  <c r="J29"/>
  <c r="J16"/>
  <c r="J15"/>
  <c r="J17"/>
  <c r="J18"/>
  <c r="J19"/>
  <c r="J20"/>
  <c r="J21"/>
  <c r="J22"/>
  <c r="J14"/>
  <c r="R164"/>
  <c r="B94" i="5"/>
  <c r="I94"/>
  <c r="B96"/>
  <c r="I96"/>
  <c r="T193" i="1"/>
  <c r="T194"/>
  <c r="B49" i="5"/>
  <c r="I49"/>
  <c r="B27"/>
  <c r="I27"/>
  <c r="G29" i="2"/>
  <c r="H29"/>
  <c r="G27"/>
  <c r="I27"/>
  <c r="G28"/>
  <c r="H28"/>
  <c r="G30"/>
  <c r="I30"/>
  <c r="G31"/>
  <c r="I31"/>
  <c r="G32"/>
  <c r="I32"/>
  <c r="G33"/>
  <c r="H33"/>
  <c r="G34"/>
  <c r="I34"/>
  <c r="G35"/>
  <c r="G36"/>
  <c r="I36"/>
  <c r="G37"/>
  <c r="G38"/>
  <c r="H38"/>
  <c r="G39"/>
  <c r="G41"/>
  <c r="H41"/>
  <c r="G42"/>
  <c r="I42"/>
  <c r="G43"/>
  <c r="G44"/>
  <c r="I44"/>
  <c r="G45"/>
  <c r="H45"/>
  <c r="G46"/>
  <c r="I46"/>
  <c r="G47"/>
  <c r="J47"/>
  <c r="G48"/>
  <c r="H48"/>
  <c r="G49"/>
  <c r="I49"/>
  <c r="G50"/>
  <c r="I50"/>
  <c r="G51"/>
  <c r="G52"/>
  <c r="I52"/>
  <c r="G53"/>
  <c r="H30"/>
  <c r="H32"/>
  <c r="H37"/>
  <c r="H44"/>
  <c r="H46"/>
  <c r="K46"/>
  <c r="L46"/>
  <c r="H50"/>
  <c r="B31" i="5"/>
  <c r="T97" i="1"/>
  <c r="B43" i="5"/>
  <c r="I43"/>
  <c r="B36"/>
  <c r="D36"/>
  <c r="B33"/>
  <c r="D33"/>
  <c r="B38"/>
  <c r="D38"/>
  <c r="B41"/>
  <c r="D41"/>
  <c r="B26"/>
  <c r="I26"/>
  <c r="B44"/>
  <c r="D44"/>
  <c r="B39"/>
  <c r="I39"/>
  <c r="B45"/>
  <c r="I45"/>
  <c r="T88" i="1"/>
  <c r="T89"/>
  <c r="B28" i="5"/>
  <c r="D28"/>
  <c r="B29"/>
  <c r="D29"/>
  <c r="T94" i="1"/>
  <c r="T95"/>
  <c r="B111" i="5"/>
  <c r="T246" i="1"/>
  <c r="B21" i="5"/>
  <c r="I21"/>
  <c r="B24"/>
  <c r="T64" i="1"/>
  <c r="B116" i="5"/>
  <c r="I116"/>
  <c r="B130"/>
  <c r="I130"/>
  <c r="B135"/>
  <c r="I135"/>
  <c r="T311" i="1"/>
  <c r="B127" i="5"/>
  <c r="T263" i="1"/>
  <c r="B126" i="5"/>
  <c r="I126"/>
  <c r="B119"/>
  <c r="I119"/>
  <c r="B122"/>
  <c r="I122"/>
  <c r="B115"/>
  <c r="I115"/>
  <c r="B114"/>
  <c r="D114"/>
  <c r="L256" i="1"/>
  <c r="B100" i="5"/>
  <c r="I100"/>
  <c r="B60"/>
  <c r="I60"/>
  <c r="B56"/>
  <c r="I56"/>
  <c r="B55"/>
  <c r="I55"/>
  <c r="B51"/>
  <c r="I51"/>
  <c r="T105" i="1"/>
  <c r="T106"/>
  <c r="B22" i="5"/>
  <c r="I22"/>
  <c r="T65" i="1"/>
  <c r="T56"/>
  <c r="B18" i="5"/>
  <c r="T46" i="1"/>
  <c r="T38"/>
  <c r="T39"/>
  <c r="O108"/>
  <c r="T145"/>
  <c r="B84" i="5"/>
  <c r="I84"/>
  <c r="B67"/>
  <c r="D67"/>
  <c r="B70"/>
  <c r="T155" i="1"/>
  <c r="B75" i="5"/>
  <c r="D75"/>
  <c r="B65"/>
  <c r="D65"/>
  <c r="B71"/>
  <c r="D71"/>
  <c r="B77"/>
  <c r="T167" i="1"/>
  <c r="O183"/>
  <c r="B107" i="5"/>
  <c r="T225" i="1"/>
  <c r="B109" i="5"/>
  <c r="T226" i="1"/>
  <c r="B102" i="5"/>
  <c r="T227" i="1"/>
  <c r="B101" i="5"/>
  <c r="D101"/>
  <c r="T230" i="1"/>
  <c r="O240"/>
  <c r="I15"/>
  <c r="I17"/>
  <c r="D7" i="5"/>
  <c r="L20" i="1"/>
  <c r="N20"/>
  <c r="I29"/>
  <c r="I30"/>
  <c r="I37"/>
  <c r="I38"/>
  <c r="I39"/>
  <c r="I46"/>
  <c r="I47"/>
  <c r="I48"/>
  <c r="I49"/>
  <c r="I55"/>
  <c r="I56"/>
  <c r="I63"/>
  <c r="I64"/>
  <c r="I72"/>
  <c r="I73"/>
  <c r="I74"/>
  <c r="I97"/>
  <c r="I75"/>
  <c r="I76"/>
  <c r="I79"/>
  <c r="I80"/>
  <c r="I81"/>
  <c r="I83"/>
  <c r="I84"/>
  <c r="I86"/>
  <c r="I88"/>
  <c r="I85"/>
  <c r="I89"/>
  <c r="I91"/>
  <c r="I78"/>
  <c r="I92"/>
  <c r="I93"/>
  <c r="I94"/>
  <c r="I95"/>
  <c r="I96"/>
  <c r="I105"/>
  <c r="I106"/>
  <c r="I113"/>
  <c r="I114"/>
  <c r="I115"/>
  <c r="I122"/>
  <c r="I130"/>
  <c r="I138"/>
  <c r="I146"/>
  <c r="I147"/>
  <c r="I149"/>
  <c r="I150"/>
  <c r="I151"/>
  <c r="I152"/>
  <c r="I153"/>
  <c r="I154"/>
  <c r="I155"/>
  <c r="I157"/>
  <c r="I158"/>
  <c r="I160"/>
  <c r="I161"/>
  <c r="I162"/>
  <c r="I163"/>
  <c r="I165"/>
  <c r="I167"/>
  <c r="I168"/>
  <c r="I170"/>
  <c r="I171"/>
  <c r="I172"/>
  <c r="I173"/>
  <c r="I181"/>
  <c r="I180"/>
  <c r="I189"/>
  <c r="I193"/>
  <c r="I201"/>
  <c r="I208"/>
  <c r="I215"/>
  <c r="I216"/>
  <c r="I226"/>
  <c r="I227"/>
  <c r="I228"/>
  <c r="I229"/>
  <c r="I230"/>
  <c r="I231"/>
  <c r="I238"/>
  <c r="I245"/>
  <c r="I246"/>
  <c r="I247"/>
  <c r="I254"/>
  <c r="I256"/>
  <c r="I263"/>
  <c r="I264"/>
  <c r="I265"/>
  <c r="I266"/>
  <c r="I273"/>
  <c r="I267"/>
  <c r="I268"/>
  <c r="I269"/>
  <c r="I270"/>
  <c r="I271"/>
  <c r="I272"/>
  <c r="I274"/>
  <c r="I282"/>
  <c r="I283"/>
  <c r="I284"/>
  <c r="I291"/>
  <c r="I293"/>
  <c r="I300"/>
  <c r="I307"/>
  <c r="I308"/>
  <c r="I309"/>
  <c r="I310"/>
  <c r="I311"/>
  <c r="F14"/>
  <c r="D2" i="5"/>
  <c r="L14" i="1"/>
  <c r="N14"/>
  <c r="F15"/>
  <c r="D10" i="5"/>
  <c r="L15" i="1"/>
  <c r="N15"/>
  <c r="F16"/>
  <c r="D3" i="5"/>
  <c r="L16" i="1"/>
  <c r="N16"/>
  <c r="F17"/>
  <c r="D5" i="5"/>
  <c r="L17" i="1"/>
  <c r="N17"/>
  <c r="F18"/>
  <c r="D9" i="5"/>
  <c r="L18" i="1"/>
  <c r="N18"/>
  <c r="F19"/>
  <c r="D8" i="5"/>
  <c r="L19" i="1"/>
  <c r="N19"/>
  <c r="F20"/>
  <c r="F21"/>
  <c r="D6" i="5"/>
  <c r="L21" i="1"/>
  <c r="N21"/>
  <c r="F22"/>
  <c r="F29"/>
  <c r="F30"/>
  <c r="F37"/>
  <c r="F38"/>
  <c r="F39"/>
  <c r="F46"/>
  <c r="F47"/>
  <c r="F48"/>
  <c r="F49"/>
  <c r="F55"/>
  <c r="F56"/>
  <c r="F63"/>
  <c r="F64"/>
  <c r="F65"/>
  <c r="F72"/>
  <c r="F73"/>
  <c r="F74"/>
  <c r="F97"/>
  <c r="F75"/>
  <c r="F76"/>
  <c r="F77"/>
  <c r="F79"/>
  <c r="F80"/>
  <c r="F81"/>
  <c r="F82"/>
  <c r="F83"/>
  <c r="F84"/>
  <c r="F86"/>
  <c r="F88"/>
  <c r="F85"/>
  <c r="F89"/>
  <c r="F90"/>
  <c r="F91"/>
  <c r="F78"/>
  <c r="F92"/>
  <c r="F93"/>
  <c r="F94"/>
  <c r="F95"/>
  <c r="F96"/>
  <c r="F104"/>
  <c r="F105"/>
  <c r="F106"/>
  <c r="F113"/>
  <c r="F114"/>
  <c r="F115"/>
  <c r="F122"/>
  <c r="F123"/>
  <c r="F130"/>
  <c r="F138"/>
  <c r="F137"/>
  <c r="F145"/>
  <c r="F146"/>
  <c r="F147"/>
  <c r="F148"/>
  <c r="F149"/>
  <c r="F150"/>
  <c r="F151"/>
  <c r="F152"/>
  <c r="F153"/>
  <c r="F154"/>
  <c r="F155"/>
  <c r="F156"/>
  <c r="F157"/>
  <c r="F158"/>
  <c r="F159"/>
  <c r="F160"/>
  <c r="F161"/>
  <c r="F162"/>
  <c r="F163"/>
  <c r="F165"/>
  <c r="F166"/>
  <c r="F167"/>
  <c r="F168"/>
  <c r="F169"/>
  <c r="F170"/>
  <c r="F171"/>
  <c r="F172"/>
  <c r="F173"/>
  <c r="F181"/>
  <c r="F180"/>
  <c r="F188"/>
  <c r="F189"/>
  <c r="F190"/>
  <c r="F192"/>
  <c r="F194"/>
  <c r="F193"/>
  <c r="F201"/>
  <c r="F208"/>
  <c r="F215"/>
  <c r="F216"/>
  <c r="F223"/>
  <c r="F224"/>
  <c r="F225"/>
  <c r="F226"/>
  <c r="F227"/>
  <c r="F228"/>
  <c r="F229"/>
  <c r="F230"/>
  <c r="F231"/>
  <c r="F238"/>
  <c r="F245"/>
  <c r="F246"/>
  <c r="F247"/>
  <c r="F254"/>
  <c r="F255"/>
  <c r="F256"/>
  <c r="F263"/>
  <c r="F264"/>
  <c r="F265"/>
  <c r="F266"/>
  <c r="F273"/>
  <c r="F267"/>
  <c r="F268"/>
  <c r="F269"/>
  <c r="F270"/>
  <c r="F271"/>
  <c r="F272"/>
  <c r="F274"/>
  <c r="F282"/>
  <c r="F283"/>
  <c r="F284"/>
  <c r="F291"/>
  <c r="F293"/>
  <c r="F300"/>
  <c r="F307"/>
  <c r="F308"/>
  <c r="F309"/>
  <c r="F310"/>
  <c r="F311"/>
  <c r="H15"/>
  <c r="H17"/>
  <c r="B4" i="5"/>
  <c r="L22" i="1"/>
  <c r="N22"/>
  <c r="K308"/>
  <c r="L23"/>
  <c r="P32"/>
  <c r="P51"/>
  <c r="P67"/>
  <c r="P99"/>
  <c r="P108"/>
  <c r="P117"/>
  <c r="P125"/>
  <c r="P140"/>
  <c r="P175"/>
  <c r="P183"/>
  <c r="P203"/>
  <c r="P210"/>
  <c r="P218"/>
  <c r="P233"/>
  <c r="P240"/>
  <c r="P258"/>
  <c r="P286"/>
  <c r="P295"/>
  <c r="P302"/>
  <c r="B105" i="5"/>
  <c r="T223" i="1"/>
  <c r="B54" i="5"/>
  <c r="I54"/>
  <c r="B80"/>
  <c r="T146" i="1"/>
  <c r="B97" i="5"/>
  <c r="I97"/>
  <c r="B90"/>
  <c r="I90"/>
  <c r="B93"/>
  <c r="I93"/>
  <c r="B61"/>
  <c r="I61"/>
  <c r="B3"/>
  <c r="I3"/>
  <c r="B5"/>
  <c r="I5"/>
  <c r="B9"/>
  <c r="I9"/>
  <c r="B10"/>
  <c r="I10"/>
  <c r="B11"/>
  <c r="I11"/>
  <c r="B12"/>
  <c r="T29" i="1"/>
  <c r="I13" i="5"/>
  <c r="I15"/>
  <c r="I16"/>
  <c r="B17"/>
  <c r="I17"/>
  <c r="I18"/>
  <c r="I19"/>
  <c r="I20"/>
  <c r="I23"/>
  <c r="I25"/>
  <c r="I28"/>
  <c r="I29"/>
  <c r="B30"/>
  <c r="T76" i="1"/>
  <c r="B32" i="5"/>
  <c r="I32"/>
  <c r="I33"/>
  <c r="I34"/>
  <c r="I35"/>
  <c r="I36"/>
  <c r="I37"/>
  <c r="I38"/>
  <c r="I40"/>
  <c r="I41"/>
  <c r="B42"/>
  <c r="I42"/>
  <c r="I44"/>
  <c r="I46"/>
  <c r="I47"/>
  <c r="I48"/>
  <c r="I50"/>
  <c r="I52"/>
  <c r="I53"/>
  <c r="B57"/>
  <c r="I57"/>
  <c r="B58"/>
  <c r="T130" i="1"/>
  <c r="B59" i="5"/>
  <c r="T138" i="1"/>
  <c r="I62" i="5"/>
  <c r="I63"/>
  <c r="I64"/>
  <c r="I65"/>
  <c r="B66"/>
  <c r="T152" i="1"/>
  <c r="I67" i="5"/>
  <c r="B68"/>
  <c r="I68"/>
  <c r="I69"/>
  <c r="I71"/>
  <c r="I72"/>
  <c r="I73"/>
  <c r="I74"/>
  <c r="I75"/>
  <c r="I76"/>
  <c r="I78"/>
  <c r="I79"/>
  <c r="I81"/>
  <c r="I82"/>
  <c r="B83"/>
  <c r="I83"/>
  <c r="B85"/>
  <c r="I85"/>
  <c r="I86"/>
  <c r="I87"/>
  <c r="I88"/>
  <c r="B89"/>
  <c r="T181" i="1"/>
  <c r="B91" i="5"/>
  <c r="I91"/>
  <c r="I92"/>
  <c r="I95"/>
  <c r="I101"/>
  <c r="I102"/>
  <c r="I103"/>
  <c r="B104"/>
  <c r="I104"/>
  <c r="I106"/>
  <c r="I108"/>
  <c r="B110"/>
  <c r="I110"/>
  <c r="B112"/>
  <c r="T245" i="1"/>
  <c r="I113" i="5"/>
  <c r="I114"/>
  <c r="I117"/>
  <c r="I118"/>
  <c r="I120"/>
  <c r="I121"/>
  <c r="I123"/>
  <c r="I124"/>
  <c r="I125"/>
  <c r="I128"/>
  <c r="I129"/>
  <c r="I131"/>
  <c r="B132"/>
  <c r="T291" i="1"/>
  <c r="I133" i="5"/>
  <c r="B134"/>
  <c r="I134"/>
  <c r="I136"/>
  <c r="B137"/>
  <c r="T308" i="1"/>
  <c r="B141" i="5"/>
  <c r="I141"/>
  <c r="I142"/>
  <c r="C143"/>
  <c r="B14"/>
  <c r="I14"/>
  <c r="B99"/>
  <c r="I99"/>
  <c r="K147" i="1"/>
  <c r="S147"/>
  <c r="B73" i="5"/>
  <c r="T151" i="1"/>
  <c r="B2" i="5"/>
  <c r="I2"/>
  <c r="B8"/>
  <c r="I8"/>
  <c r="B6"/>
  <c r="I6"/>
  <c r="B7"/>
  <c r="I7"/>
  <c r="K14" i="1"/>
  <c r="K15"/>
  <c r="K16"/>
  <c r="K17"/>
  <c r="K18"/>
  <c r="K19"/>
  <c r="K20"/>
  <c r="K21"/>
  <c r="K223"/>
  <c r="K226"/>
  <c r="K227"/>
  <c r="K224"/>
  <c r="K225"/>
  <c r="K228"/>
  <c r="K229"/>
  <c r="K230"/>
  <c r="K231"/>
  <c r="U16"/>
  <c r="U17"/>
  <c r="U18"/>
  <c r="U21"/>
  <c r="U20"/>
  <c r="U22"/>
  <c r="U14"/>
  <c r="U19"/>
  <c r="U29"/>
  <c r="U30"/>
  <c r="U37"/>
  <c r="U38"/>
  <c r="U39"/>
  <c r="U46"/>
  <c r="U47"/>
  <c r="U48"/>
  <c r="U49"/>
  <c r="U55"/>
  <c r="U56"/>
  <c r="U63"/>
  <c r="U64"/>
  <c r="U65"/>
  <c r="U72"/>
  <c r="U73"/>
  <c r="U74"/>
  <c r="U97"/>
  <c r="U75"/>
  <c r="U76"/>
  <c r="U77"/>
  <c r="U79"/>
  <c r="U80"/>
  <c r="U81"/>
  <c r="U82"/>
  <c r="U83"/>
  <c r="U84"/>
  <c r="U85"/>
  <c r="U86"/>
  <c r="U88"/>
  <c r="U89"/>
  <c r="U90"/>
  <c r="U91"/>
  <c r="U78"/>
  <c r="U92"/>
  <c r="U93"/>
  <c r="U94"/>
  <c r="U95"/>
  <c r="U96"/>
  <c r="U104"/>
  <c r="U105"/>
  <c r="U106"/>
  <c r="U113"/>
  <c r="U114"/>
  <c r="U115"/>
  <c r="U122"/>
  <c r="U123"/>
  <c r="U130"/>
  <c r="U137"/>
  <c r="U138"/>
  <c r="U166"/>
  <c r="U145"/>
  <c r="U146"/>
  <c r="U148"/>
  <c r="U149"/>
  <c r="U150"/>
  <c r="U151"/>
  <c r="U152"/>
  <c r="U153"/>
  <c r="U154"/>
  <c r="U155"/>
  <c r="U156"/>
  <c r="U157"/>
  <c r="U158"/>
  <c r="U159"/>
  <c r="U160"/>
  <c r="U161"/>
  <c r="U162"/>
  <c r="U163"/>
  <c r="U172"/>
  <c r="U165"/>
  <c r="U167"/>
  <c r="U147"/>
  <c r="U168"/>
  <c r="U169"/>
  <c r="U170"/>
  <c r="U171"/>
  <c r="U173"/>
  <c r="U181"/>
  <c r="U180"/>
  <c r="U188"/>
  <c r="U189"/>
  <c r="U190"/>
  <c r="U192"/>
  <c r="U194"/>
  <c r="U193"/>
  <c r="U201"/>
  <c r="U208"/>
  <c r="U215"/>
  <c r="U216"/>
  <c r="U223"/>
  <c r="U228"/>
  <c r="U226"/>
  <c r="U227"/>
  <c r="U224"/>
  <c r="U225"/>
  <c r="U229"/>
  <c r="U230"/>
  <c r="U231"/>
  <c r="U238"/>
  <c r="U245"/>
  <c r="U246"/>
  <c r="U247"/>
  <c r="U254"/>
  <c r="U255"/>
  <c r="U256"/>
  <c r="U263"/>
  <c r="U264"/>
  <c r="U265"/>
  <c r="U266"/>
  <c r="U273"/>
  <c r="U267"/>
  <c r="U268"/>
  <c r="U269"/>
  <c r="U270"/>
  <c r="U271"/>
  <c r="U272"/>
  <c r="U274"/>
  <c r="U282"/>
  <c r="U283"/>
  <c r="U284"/>
  <c r="U291"/>
  <c r="U293"/>
  <c r="U300"/>
  <c r="U307"/>
  <c r="U308"/>
  <c r="U309"/>
  <c r="U310"/>
  <c r="U311"/>
  <c r="U15"/>
  <c r="L3" i="2"/>
  <c r="L5"/>
  <c r="L12"/>
  <c r="S73" i="1"/>
  <c r="S74"/>
  <c r="S97"/>
  <c r="S75"/>
  <c r="S76"/>
  <c r="S77"/>
  <c r="S79"/>
  <c r="S80"/>
  <c r="S81"/>
  <c r="S82"/>
  <c r="S83"/>
  <c r="S84"/>
  <c r="S85"/>
  <c r="S86"/>
  <c r="S88"/>
  <c r="S89"/>
  <c r="S90"/>
  <c r="S91"/>
  <c r="S78"/>
  <c r="S92"/>
  <c r="S93"/>
  <c r="S94"/>
  <c r="S95"/>
  <c r="S96"/>
  <c r="K166"/>
  <c r="K146"/>
  <c r="K145"/>
  <c r="K148"/>
  <c r="K149"/>
  <c r="K150"/>
  <c r="K151"/>
  <c r="K152"/>
  <c r="K153"/>
  <c r="K154"/>
  <c r="K155"/>
  <c r="K156"/>
  <c r="K157"/>
  <c r="K158"/>
  <c r="K159"/>
  <c r="K160"/>
  <c r="K161"/>
  <c r="K162"/>
  <c r="K163"/>
  <c r="K165"/>
  <c r="K167"/>
  <c r="K168"/>
  <c r="K169"/>
  <c r="K170"/>
  <c r="K171"/>
  <c r="K172"/>
  <c r="K173"/>
  <c r="B98" i="5"/>
  <c r="T208" i="1"/>
  <c r="K76"/>
  <c r="K91"/>
  <c r="K79"/>
  <c r="K80"/>
  <c r="K78"/>
  <c r="A258"/>
  <c r="B258"/>
  <c r="K256"/>
  <c r="K254"/>
  <c r="K255"/>
  <c r="K75"/>
  <c r="K90"/>
  <c r="K268"/>
  <c r="S268"/>
  <c r="D105"/>
  <c r="E105"/>
  <c r="J105"/>
  <c r="K105"/>
  <c r="S105"/>
  <c r="D150"/>
  <c r="E150"/>
  <c r="S150"/>
  <c r="D167"/>
  <c r="E167"/>
  <c r="J167"/>
  <c r="S167"/>
  <c r="D308"/>
  <c r="E308"/>
  <c r="K307"/>
  <c r="K309"/>
  <c r="K310"/>
  <c r="K311"/>
  <c r="S308"/>
  <c r="D309"/>
  <c r="E309"/>
  <c r="S309"/>
  <c r="S293"/>
  <c r="D284"/>
  <c r="E284"/>
  <c r="J284"/>
  <c r="K284"/>
  <c r="S284"/>
  <c r="S274"/>
  <c r="D254"/>
  <c r="E254"/>
  <c r="S254"/>
  <c r="D255"/>
  <c r="E255"/>
  <c r="S255"/>
  <c r="D247"/>
  <c r="E247"/>
  <c r="K247"/>
  <c r="S247"/>
  <c r="S228"/>
  <c r="D223"/>
  <c r="E223"/>
  <c r="S223"/>
  <c r="D230"/>
  <c r="E230"/>
  <c r="J230"/>
  <c r="S230"/>
  <c r="D225"/>
  <c r="E225"/>
  <c r="S225"/>
  <c r="D231"/>
  <c r="E231"/>
  <c r="J231"/>
  <c r="S231"/>
  <c r="S215"/>
  <c r="K215"/>
  <c r="E215"/>
  <c r="D215"/>
  <c r="D158"/>
  <c r="E158"/>
  <c r="S158"/>
  <c r="D145"/>
  <c r="E145"/>
  <c r="S145"/>
  <c r="D151"/>
  <c r="E151"/>
  <c r="S151"/>
  <c r="D171"/>
  <c r="E171"/>
  <c r="J171"/>
  <c r="S171"/>
  <c r="D156"/>
  <c r="E156"/>
  <c r="S156"/>
  <c r="D169"/>
  <c r="E169"/>
  <c r="J169"/>
  <c r="S169"/>
  <c r="D159"/>
  <c r="E159"/>
  <c r="S159"/>
  <c r="D162"/>
  <c r="E162"/>
  <c r="S162"/>
  <c r="D161"/>
  <c r="E161"/>
  <c r="S161"/>
  <c r="D146"/>
  <c r="E146"/>
  <c r="S146"/>
  <c r="D170"/>
  <c r="E170"/>
  <c r="J170"/>
  <c r="S170"/>
  <c r="D172"/>
  <c r="E172"/>
  <c r="J172"/>
  <c r="S172"/>
  <c r="D148"/>
  <c r="E148"/>
  <c r="S148"/>
  <c r="D147"/>
  <c r="E147"/>
  <c r="D163"/>
  <c r="E163"/>
  <c r="S163"/>
  <c r="S113"/>
  <c r="K113"/>
  <c r="E113"/>
  <c r="D113"/>
  <c r="S114"/>
  <c r="K114"/>
  <c r="E114"/>
  <c r="D114"/>
  <c r="D96"/>
  <c r="E96"/>
  <c r="J96"/>
  <c r="K96"/>
  <c r="D82"/>
  <c r="E82"/>
  <c r="K82"/>
  <c r="D74"/>
  <c r="E74"/>
  <c r="K74"/>
  <c r="D77"/>
  <c r="E77"/>
  <c r="K77"/>
  <c r="D84"/>
  <c r="E84"/>
  <c r="K84"/>
  <c r="D86"/>
  <c r="E86"/>
  <c r="K86"/>
  <c r="D88"/>
  <c r="E88"/>
  <c r="K88"/>
  <c r="D89"/>
  <c r="E89"/>
  <c r="K89"/>
  <c r="D92"/>
  <c r="E92"/>
  <c r="J92"/>
  <c r="K92"/>
  <c r="D63"/>
  <c r="E63"/>
  <c r="K63"/>
  <c r="K65"/>
  <c r="K64"/>
  <c r="S63"/>
  <c r="D65"/>
  <c r="E65"/>
  <c r="S65"/>
  <c r="D37"/>
  <c r="E37"/>
  <c r="K37"/>
  <c r="S37"/>
  <c r="D39"/>
  <c r="E39"/>
  <c r="K39"/>
  <c r="K38"/>
  <c r="S39"/>
  <c r="D30"/>
  <c r="E30"/>
  <c r="K30"/>
  <c r="S30"/>
  <c r="D46"/>
  <c r="E46"/>
  <c r="K46"/>
  <c r="S46"/>
  <c r="D48"/>
  <c r="E48"/>
  <c r="K48"/>
  <c r="S48"/>
  <c r="D49"/>
  <c r="E49"/>
  <c r="K49"/>
  <c r="S49"/>
  <c r="S282"/>
  <c r="K282"/>
  <c r="K283"/>
  <c r="E282"/>
  <c r="D282"/>
  <c r="E80"/>
  <c r="D80"/>
  <c r="A103"/>
  <c r="B103"/>
  <c r="J273"/>
  <c r="J274"/>
  <c r="J229"/>
  <c r="J194"/>
  <c r="J173"/>
  <c r="J166"/>
  <c r="J168"/>
  <c r="J115"/>
  <c r="J106"/>
  <c r="J95"/>
  <c r="J94"/>
  <c r="J97"/>
  <c r="J91"/>
  <c r="J90"/>
  <c r="J93"/>
  <c r="T14"/>
  <c r="S311"/>
  <c r="S310"/>
  <c r="S307"/>
  <c r="S300"/>
  <c r="S291"/>
  <c r="S283"/>
  <c r="S263"/>
  <c r="S269"/>
  <c r="S267"/>
  <c r="S271"/>
  <c r="S266"/>
  <c r="S272"/>
  <c r="S265"/>
  <c r="S264"/>
  <c r="S270"/>
  <c r="S273"/>
  <c r="S256"/>
  <c r="S245"/>
  <c r="S246"/>
  <c r="S238"/>
  <c r="S226"/>
  <c r="S227"/>
  <c r="S224"/>
  <c r="S229"/>
  <c r="S216"/>
  <c r="S208"/>
  <c r="S201"/>
  <c r="S193"/>
  <c r="S192"/>
  <c r="S190"/>
  <c r="S189"/>
  <c r="S194"/>
  <c r="S188"/>
  <c r="S180"/>
  <c r="S181"/>
  <c r="S173"/>
  <c r="S160"/>
  <c r="S155"/>
  <c r="S153"/>
  <c r="S154"/>
  <c r="S152"/>
  <c r="S165"/>
  <c r="S166"/>
  <c r="S168"/>
  <c r="S157"/>
  <c r="S149"/>
  <c r="S137"/>
  <c r="S138"/>
  <c r="S130"/>
  <c r="S122"/>
  <c r="S123"/>
  <c r="S115"/>
  <c r="S106"/>
  <c r="S104"/>
  <c r="S72"/>
  <c r="S64"/>
  <c r="S55"/>
  <c r="S56"/>
  <c r="S47"/>
  <c r="S38"/>
  <c r="S29"/>
  <c r="S20"/>
  <c r="S16"/>
  <c r="S21"/>
  <c r="S19"/>
  <c r="S17"/>
  <c r="S22"/>
  <c r="S18"/>
  <c r="S14"/>
  <c r="S15"/>
  <c r="K300"/>
  <c r="K302"/>
  <c r="K291"/>
  <c r="K293"/>
  <c r="K263"/>
  <c r="K269"/>
  <c r="K267"/>
  <c r="K271"/>
  <c r="K266"/>
  <c r="K273"/>
  <c r="K270"/>
  <c r="K265"/>
  <c r="K264"/>
  <c r="K272"/>
  <c r="K274"/>
  <c r="K245"/>
  <c r="K246"/>
  <c r="K238"/>
  <c r="K240"/>
  <c r="K216"/>
  <c r="K208"/>
  <c r="K210"/>
  <c r="K201"/>
  <c r="K203"/>
  <c r="K193"/>
  <c r="K192"/>
  <c r="K190"/>
  <c r="K189"/>
  <c r="K194"/>
  <c r="K188"/>
  <c r="K180"/>
  <c r="K181"/>
  <c r="K137"/>
  <c r="K138"/>
  <c r="K130"/>
  <c r="K132"/>
  <c r="K122"/>
  <c r="K123"/>
  <c r="K115"/>
  <c r="K106"/>
  <c r="K104"/>
  <c r="K72"/>
  <c r="K93"/>
  <c r="K73"/>
  <c r="K83"/>
  <c r="K97"/>
  <c r="K94"/>
  <c r="K95"/>
  <c r="K81"/>
  <c r="K85"/>
  <c r="K55"/>
  <c r="K56"/>
  <c r="K47"/>
  <c r="K29"/>
  <c r="D311"/>
  <c r="E311"/>
  <c r="D293"/>
  <c r="E293"/>
  <c r="D226"/>
  <c r="E226"/>
  <c r="D216"/>
  <c r="E216"/>
  <c r="D189"/>
  <c r="E189"/>
  <c r="D190"/>
  <c r="E190"/>
  <c r="D192"/>
  <c r="E192"/>
  <c r="D193"/>
  <c r="E193"/>
  <c r="D173"/>
  <c r="E173"/>
  <c r="D95"/>
  <c r="E95"/>
  <c r="D79"/>
  <c r="E79"/>
  <c r="D78"/>
  <c r="E78"/>
  <c r="D81"/>
  <c r="E81"/>
  <c r="D72"/>
  <c r="E72"/>
  <c r="D55"/>
  <c r="E55"/>
  <c r="D14"/>
  <c r="D20"/>
  <c r="D16"/>
  <c r="D21"/>
  <c r="D19"/>
  <c r="D17"/>
  <c r="D22"/>
  <c r="D18"/>
  <c r="D15"/>
  <c r="G20"/>
  <c r="G16"/>
  <c r="G21"/>
  <c r="G19"/>
  <c r="G17"/>
  <c r="G22"/>
  <c r="G18"/>
  <c r="G15"/>
  <c r="G14"/>
  <c r="E20"/>
  <c r="E16"/>
  <c r="E21"/>
  <c r="E19"/>
  <c r="E17"/>
  <c r="E22"/>
  <c r="E18"/>
  <c r="E15"/>
  <c r="E14"/>
  <c r="E307"/>
  <c r="D307"/>
  <c r="E291"/>
  <c r="D291"/>
  <c r="E269"/>
  <c r="D269"/>
  <c r="E267"/>
  <c r="D267"/>
  <c r="E271"/>
  <c r="D271"/>
  <c r="E266"/>
  <c r="D266"/>
  <c r="E272"/>
  <c r="D272"/>
  <c r="E265"/>
  <c r="D265"/>
  <c r="E268"/>
  <c r="D268"/>
  <c r="E264"/>
  <c r="D264"/>
  <c r="E270"/>
  <c r="D270"/>
  <c r="E273"/>
  <c r="D273"/>
  <c r="E245"/>
  <c r="D245"/>
  <c r="E224"/>
  <c r="D224"/>
  <c r="E229"/>
  <c r="D229"/>
  <c r="E227"/>
  <c r="D227"/>
  <c r="E208"/>
  <c r="D208"/>
  <c r="E180"/>
  <c r="D180"/>
  <c r="E160"/>
  <c r="D160"/>
  <c r="E155"/>
  <c r="D155"/>
  <c r="E153"/>
  <c r="D153"/>
  <c r="E154"/>
  <c r="D154"/>
  <c r="E137"/>
  <c r="D137"/>
  <c r="E122"/>
  <c r="D122"/>
  <c r="E115"/>
  <c r="D115"/>
  <c r="E106"/>
  <c r="D106"/>
  <c r="E104"/>
  <c r="D104"/>
  <c r="E85"/>
  <c r="D85"/>
  <c r="E90"/>
  <c r="D90"/>
  <c r="E93"/>
  <c r="D93"/>
  <c r="E73"/>
  <c r="D73"/>
  <c r="E263"/>
  <c r="D263"/>
  <c r="D56"/>
  <c r="E56"/>
  <c r="F55" i="2"/>
  <c r="E76" i="1"/>
  <c r="D76"/>
  <c r="E56" i="2"/>
  <c r="E55"/>
  <c r="F56"/>
  <c r="D29" i="1"/>
  <c r="E29"/>
  <c r="E130"/>
  <c r="D130"/>
  <c r="E47"/>
  <c r="D47"/>
  <c r="E310"/>
  <c r="D310"/>
  <c r="E300"/>
  <c r="D300"/>
  <c r="E283"/>
  <c r="D283"/>
  <c r="E274"/>
  <c r="D274"/>
  <c r="E256"/>
  <c r="D256"/>
  <c r="E246"/>
  <c r="D246"/>
  <c r="E238"/>
  <c r="D238"/>
  <c r="E228"/>
  <c r="D228"/>
  <c r="E201"/>
  <c r="D201"/>
  <c r="E194"/>
  <c r="D194"/>
  <c r="E188"/>
  <c r="D188"/>
  <c r="E181"/>
  <c r="D181"/>
  <c r="E152"/>
  <c r="D152"/>
  <c r="E165"/>
  <c r="D165"/>
  <c r="E166"/>
  <c r="D166"/>
  <c r="E168"/>
  <c r="D168"/>
  <c r="E157"/>
  <c r="D157"/>
  <c r="E149"/>
  <c r="D149"/>
  <c r="E138"/>
  <c r="D138"/>
  <c r="E123"/>
  <c r="D123"/>
  <c r="E91"/>
  <c r="D91"/>
  <c r="E94"/>
  <c r="D94"/>
  <c r="E75"/>
  <c r="D75"/>
  <c r="E97"/>
  <c r="D97"/>
  <c r="E83"/>
  <c r="D83"/>
  <c r="E64"/>
  <c r="D64"/>
  <c r="E38"/>
  <c r="D38"/>
  <c r="A13"/>
  <c r="B13"/>
  <c r="A14"/>
  <c r="B14"/>
  <c r="A23"/>
  <c r="B23"/>
  <c r="J27"/>
  <c r="J35"/>
  <c r="J44"/>
  <c r="J53"/>
  <c r="J61"/>
  <c r="J70"/>
  <c r="J102"/>
  <c r="J111"/>
  <c r="J120"/>
  <c r="J128"/>
  <c r="J135"/>
  <c r="J143"/>
  <c r="J178"/>
  <c r="J186"/>
  <c r="J199"/>
  <c r="J206"/>
  <c r="J213"/>
  <c r="J221"/>
  <c r="J236"/>
  <c r="J243"/>
  <c r="J252"/>
  <c r="J261"/>
  <c r="J280"/>
  <c r="J289"/>
  <c r="J298"/>
  <c r="J305"/>
  <c r="A36"/>
  <c r="B36"/>
  <c r="A38"/>
  <c r="B38"/>
  <c r="A45"/>
  <c r="B45"/>
  <c r="A47"/>
  <c r="B47"/>
  <c r="A62"/>
  <c r="B62"/>
  <c r="A64"/>
  <c r="B64"/>
  <c r="A71"/>
  <c r="B71"/>
  <c r="A112"/>
  <c r="B112"/>
  <c r="A115"/>
  <c r="B115"/>
  <c r="A122"/>
  <c r="B122"/>
  <c r="A124"/>
  <c r="B124"/>
  <c r="A131"/>
  <c r="B131"/>
  <c r="A137"/>
  <c r="B137"/>
  <c r="A168"/>
  <c r="B168"/>
  <c r="A166"/>
  <c r="B166"/>
  <c r="A180"/>
  <c r="B180"/>
  <c r="A194"/>
  <c r="B194"/>
  <c r="A217"/>
  <c r="B217"/>
  <c r="A227"/>
  <c r="B227"/>
  <c r="A229"/>
  <c r="B229"/>
  <c r="A239"/>
  <c r="B239"/>
  <c r="A240"/>
  <c r="B240"/>
  <c r="A245"/>
  <c r="B245"/>
  <c r="A248"/>
  <c r="B248"/>
  <c r="A268"/>
  <c r="B268"/>
  <c r="A265"/>
  <c r="B265"/>
  <c r="A282"/>
  <c r="B282"/>
  <c r="A285"/>
  <c r="B285"/>
  <c r="A291"/>
  <c r="B291"/>
  <c r="A301"/>
  <c r="B301"/>
  <c r="A310"/>
  <c r="B310"/>
  <c r="A312"/>
  <c r="B312"/>
  <c r="E60" i="2"/>
  <c r="G60"/>
  <c r="P12" i="1"/>
  <c r="E59" i="2"/>
  <c r="G59"/>
  <c r="L59"/>
  <c r="J46"/>
  <c r="T192" i="1"/>
  <c r="I4" i="5"/>
  <c r="T83" i="1"/>
  <c r="I77" i="5"/>
  <c r="J52" i="2"/>
  <c r="H36"/>
  <c r="H52"/>
  <c r="K52"/>
  <c r="L52"/>
  <c r="M52"/>
  <c r="H42"/>
  <c r="H34"/>
  <c r="I38"/>
  <c r="F58"/>
  <c r="F61"/>
  <c r="G61"/>
  <c r="M59"/>
  <c r="H27"/>
  <c r="I48"/>
  <c r="E58"/>
  <c r="G56"/>
  <c r="L15"/>
  <c r="L13"/>
  <c r="M46"/>
  <c r="K12" i="1"/>
  <c r="R282"/>
  <c r="I51" i="2"/>
  <c r="I47"/>
  <c r="I43"/>
  <c r="I41"/>
  <c r="I28"/>
  <c r="H51"/>
  <c r="G55"/>
  <c r="H49"/>
  <c r="H39"/>
  <c r="H35"/>
  <c r="H31"/>
  <c r="I39"/>
  <c r="I37"/>
  <c r="I35"/>
  <c r="I33"/>
  <c r="I29"/>
  <c r="H43"/>
  <c r="J53"/>
  <c r="L60"/>
  <c r="M60"/>
  <c r="H53"/>
  <c r="K53"/>
  <c r="L53"/>
  <c r="I53"/>
  <c r="I45"/>
  <c r="H47"/>
  <c r="K47"/>
  <c r="L47"/>
  <c r="T137" i="1"/>
  <c r="T238"/>
  <c r="T215"/>
  <c r="T79"/>
  <c r="T172"/>
  <c r="K125"/>
  <c r="T159"/>
  <c r="T115"/>
  <c r="T85"/>
  <c r="T153"/>
  <c r="T63"/>
  <c r="I58" i="5"/>
  <c r="T84" i="1"/>
  <c r="T269"/>
  <c r="T274"/>
  <c r="T309"/>
  <c r="T169"/>
  <c r="T47"/>
  <c r="T188"/>
  <c r="T300"/>
  <c r="T74"/>
  <c r="T254"/>
  <c r="I109" i="5"/>
  <c r="T73" i="1"/>
  <c r="T91"/>
  <c r="T90"/>
  <c r="T96"/>
  <c r="T157"/>
  <c r="I137" i="5"/>
  <c r="T284" i="1"/>
  <c r="T150"/>
  <c r="T282"/>
  <c r="I107" i="5"/>
  <c r="T147" i="1"/>
  <c r="I112" i="5"/>
  <c r="T231" i="1"/>
  <c r="T267"/>
  <c r="T86"/>
  <c r="T166"/>
  <c r="T93"/>
  <c r="T158"/>
  <c r="I70" i="5"/>
  <c r="T30" i="1"/>
  <c r="T201"/>
  <c r="T162"/>
  <c r="T268"/>
  <c r="T122"/>
  <c r="T160"/>
  <c r="T271"/>
  <c r="T256"/>
  <c r="I80" i="5"/>
  <c r="I132"/>
  <c r="T55" i="1"/>
  <c r="T171"/>
  <c r="I111" i="5"/>
  <c r="I66"/>
  <c r="T265" i="1"/>
  <c r="T92"/>
  <c r="T255"/>
  <c r="T189"/>
  <c r="T163"/>
  <c r="T307"/>
  <c r="T190"/>
  <c r="I59" i="5"/>
  <c r="T148" i="1"/>
  <c r="T272"/>
  <c r="T293"/>
  <c r="T228"/>
  <c r="T104"/>
  <c r="T154"/>
  <c r="T273"/>
  <c r="T72"/>
  <c r="T264"/>
  <c r="T48"/>
  <c r="T78"/>
  <c r="T114"/>
  <c r="T75"/>
  <c r="T170"/>
  <c r="T156"/>
  <c r="T81"/>
  <c r="T165"/>
  <c r="T77"/>
  <c r="T173"/>
  <c r="T266"/>
  <c r="T310"/>
  <c r="T80"/>
  <c r="T149"/>
  <c r="T247"/>
  <c r="T49"/>
  <c r="T37"/>
  <c r="T216"/>
  <c r="D73" i="5"/>
  <c r="T270" i="1"/>
  <c r="T180"/>
  <c r="I105" i="5"/>
  <c r="T224" i="1"/>
  <c r="T229"/>
  <c r="T283"/>
  <c r="T123"/>
  <c r="T168"/>
  <c r="T161"/>
  <c r="I127" i="5"/>
  <c r="I89"/>
  <c r="I31"/>
  <c r="I24"/>
  <c r="I12"/>
  <c r="D102"/>
  <c r="I98"/>
  <c r="T82" i="1"/>
  <c r="I30" i="5"/>
  <c r="T113" i="1"/>
  <c r="K58"/>
  <c r="K41"/>
  <c r="K32"/>
  <c r="K140"/>
  <c r="K117"/>
  <c r="R20"/>
  <c r="Q20"/>
  <c r="K196"/>
  <c r="K218"/>
  <c r="K183"/>
  <c r="K277"/>
  <c r="K295"/>
  <c r="K67"/>
  <c r="K313"/>
  <c r="K175"/>
  <c r="K233"/>
  <c r="K24"/>
  <c r="K249"/>
  <c r="K51"/>
  <c r="R22"/>
  <c r="Q22"/>
  <c r="Q274"/>
  <c r="R274"/>
  <c r="Q284"/>
  <c r="R284"/>
  <c r="Q21"/>
  <c r="R21"/>
  <c r="K286"/>
  <c r="N24"/>
  <c r="K258"/>
  <c r="Q17"/>
  <c r="R17"/>
  <c r="R293"/>
  <c r="Q293"/>
  <c r="R16"/>
  <c r="Q25"/>
  <c r="Q56" i="2"/>
  <c r="Q16" i="1"/>
  <c r="N25"/>
  <c r="O25"/>
  <c r="R19"/>
  <c r="Q19"/>
  <c r="Q15"/>
  <c r="R15"/>
  <c r="Q24"/>
  <c r="R18"/>
  <c r="Q18"/>
  <c r="R14"/>
  <c r="K99"/>
  <c r="Q14"/>
  <c r="K108"/>
  <c r="S317"/>
  <c r="S316"/>
  <c r="O24"/>
  <c r="H55" i="2"/>
  <c r="G58"/>
  <c r="Q137" i="1"/>
  <c r="I56" i="2"/>
  <c r="R300" i="1"/>
  <c r="M53" i="2"/>
  <c r="L18"/>
  <c r="L19"/>
  <c r="L16"/>
  <c r="L17"/>
  <c r="H56"/>
  <c r="M47"/>
  <c r="R283" i="1"/>
  <c r="I55" i="2"/>
  <c r="Q282" i="1"/>
  <c r="I143" i="5"/>
  <c r="T316" i="1"/>
  <c r="T317"/>
  <c r="T318"/>
  <c r="P8"/>
  <c r="K316"/>
  <c r="O8"/>
  <c r="W6"/>
  <c r="R138"/>
  <c r="Q138"/>
  <c r="W7"/>
  <c r="Q57" i="2"/>
  <c r="V24" i="1"/>
  <c r="S318"/>
  <c r="Q283"/>
  <c r="N303"/>
  <c r="P287"/>
  <c r="Q300"/>
  <c r="Q302"/>
  <c r="Q303"/>
  <c r="I58" i="2"/>
  <c r="J28"/>
  <c r="K28"/>
  <c r="L28"/>
  <c r="H58"/>
  <c r="Q140" i="1"/>
  <c r="Q141"/>
  <c r="P141"/>
  <c r="R137"/>
  <c r="J42" i="2"/>
  <c r="K42"/>
  <c r="L42"/>
  <c r="J29"/>
  <c r="K29"/>
  <c r="L29"/>
  <c r="J48"/>
  <c r="K48"/>
  <c r="L48"/>
  <c r="J41"/>
  <c r="K41"/>
  <c r="J37"/>
  <c r="K37"/>
  <c r="L37"/>
  <c r="Q286" i="1"/>
  <c r="Q287"/>
  <c r="P303"/>
  <c r="O303"/>
  <c r="N287"/>
  <c r="X53" i="2"/>
  <c r="X52"/>
  <c r="O287" i="1"/>
  <c r="X46" i="2"/>
  <c r="J31"/>
  <c r="K31"/>
  <c r="L31"/>
  <c r="J27"/>
  <c r="K27"/>
  <c r="K55"/>
  <c r="J33"/>
  <c r="K33"/>
  <c r="M33"/>
  <c r="J50"/>
  <c r="K50"/>
  <c r="L50"/>
  <c r="J30"/>
  <c r="K30"/>
  <c r="L30"/>
  <c r="J51"/>
  <c r="K51"/>
  <c r="L51"/>
  <c r="J39"/>
  <c r="K39"/>
  <c r="L39"/>
  <c r="J44"/>
  <c r="K44"/>
  <c r="L44"/>
  <c r="M44"/>
  <c r="J32"/>
  <c r="K32"/>
  <c r="L32"/>
  <c r="J45"/>
  <c r="K45"/>
  <c r="L45"/>
  <c r="M45"/>
  <c r="J35"/>
  <c r="K35"/>
  <c r="L35"/>
  <c r="M35"/>
  <c r="J38"/>
  <c r="K38"/>
  <c r="M38"/>
  <c r="J43"/>
  <c r="K43"/>
  <c r="L43"/>
  <c r="J49"/>
  <c r="K49"/>
  <c r="L49"/>
  <c r="M49"/>
  <c r="J34"/>
  <c r="K34"/>
  <c r="L34"/>
  <c r="J36"/>
  <c r="K36"/>
  <c r="L36"/>
  <c r="N141" i="1"/>
  <c r="O141"/>
  <c r="M30" i="2"/>
  <c r="M43"/>
  <c r="M36"/>
  <c r="M51"/>
  <c r="M39"/>
  <c r="M31"/>
  <c r="M32"/>
  <c r="Q32"/>
  <c r="Q35"/>
  <c r="M50"/>
  <c r="Q180" i="1"/>
  <c r="R180"/>
  <c r="M34" i="2"/>
  <c r="M28"/>
  <c r="R181" i="1"/>
  <c r="Q181"/>
  <c r="M37" i="2"/>
  <c r="L41"/>
  <c r="M48"/>
  <c r="M29"/>
  <c r="M42"/>
  <c r="R292" i="1"/>
  <c r="Q292"/>
  <c r="Q191"/>
  <c r="R191"/>
  <c r="AA52" i="2"/>
  <c r="AA53"/>
  <c r="AA46"/>
  <c r="U53"/>
  <c r="U52"/>
  <c r="U46"/>
  <c r="L27"/>
  <c r="K56"/>
  <c r="Q183" i="1"/>
  <c r="Q184"/>
  <c r="L56" i="2"/>
  <c r="M56"/>
  <c r="M41"/>
  <c r="P184" i="1"/>
  <c r="O184"/>
  <c r="N184"/>
  <c r="M27" i="2"/>
  <c r="L55"/>
  <c r="R162" i="1"/>
  <c r="R171"/>
  <c r="R165"/>
  <c r="R172"/>
  <c r="R168"/>
  <c r="R167"/>
  <c r="R151"/>
  <c r="R163"/>
  <c r="R161"/>
  <c r="Q149"/>
  <c r="R160"/>
  <c r="Q150"/>
  <c r="R169"/>
  <c r="M256"/>
  <c r="N256"/>
  <c r="Q264"/>
  <c r="Q266"/>
  <c r="Q267"/>
  <c r="Q265"/>
  <c r="Q268"/>
  <c r="Q123"/>
  <c r="R215"/>
  <c r="Q215"/>
  <c r="R158"/>
  <c r="Q158"/>
  <c r="Q147"/>
  <c r="R147"/>
  <c r="R152"/>
  <c r="Q152"/>
  <c r="Q56"/>
  <c r="R56"/>
  <c r="Q310"/>
  <c r="R310"/>
  <c r="R224"/>
  <c r="Q224"/>
  <c r="R194"/>
  <c r="Q194"/>
  <c r="Q92"/>
  <c r="R92"/>
  <c r="Q80"/>
  <c r="R80"/>
  <c r="R75"/>
  <c r="Q75"/>
  <c r="Q291"/>
  <c r="Q295"/>
  <c r="Q296"/>
  <c r="R291"/>
  <c r="Q271"/>
  <c r="R271"/>
  <c r="R64"/>
  <c r="Q64"/>
  <c r="R216"/>
  <c r="Q216"/>
  <c r="R47"/>
  <c r="Q47"/>
  <c r="Q254"/>
  <c r="R254"/>
  <c r="Q146"/>
  <c r="R146"/>
  <c r="R157"/>
  <c r="Q157"/>
  <c r="R170"/>
  <c r="Q170"/>
  <c r="Q238"/>
  <c r="Q240"/>
  <c r="Q241"/>
  <c r="R238"/>
  <c r="R55"/>
  <c r="Q55"/>
  <c r="R201"/>
  <c r="Q201"/>
  <c r="Q203"/>
  <c r="Q204"/>
  <c r="R115"/>
  <c r="Q115"/>
  <c r="Q245"/>
  <c r="R245"/>
  <c r="Q307"/>
  <c r="R307"/>
  <c r="R106"/>
  <c r="Q106"/>
  <c r="R223"/>
  <c r="Q223"/>
  <c r="Q226"/>
  <c r="R226"/>
  <c r="R192"/>
  <c r="Q192"/>
  <c r="R90"/>
  <c r="Q90"/>
  <c r="R96"/>
  <c r="Q96"/>
  <c r="R94"/>
  <c r="Q94"/>
  <c r="Q84"/>
  <c r="R84"/>
  <c r="R79"/>
  <c r="Q79"/>
  <c r="Q76"/>
  <c r="R76"/>
  <c r="R78"/>
  <c r="Q78"/>
  <c r="R63"/>
  <c r="Q63"/>
  <c r="R269"/>
  <c r="Q269"/>
  <c r="Q263"/>
  <c r="Q46"/>
  <c r="R46"/>
  <c r="Q166"/>
  <c r="R166"/>
  <c r="Q113"/>
  <c r="R113"/>
  <c r="R208"/>
  <c r="Q208"/>
  <c r="Q210"/>
  <c r="Q211"/>
  <c r="Q228"/>
  <c r="R228"/>
  <c r="R189"/>
  <c r="Q189"/>
  <c r="R93"/>
  <c r="Q93"/>
  <c r="R87"/>
  <c r="Q87"/>
  <c r="R74"/>
  <c r="Q74"/>
  <c r="Q65"/>
  <c r="R65"/>
  <c r="Q273"/>
  <c r="R273"/>
  <c r="R48"/>
  <c r="Q48"/>
  <c r="R256"/>
  <c r="Q256"/>
  <c r="R159"/>
  <c r="Q159"/>
  <c r="Q154"/>
  <c r="R154"/>
  <c r="Q155"/>
  <c r="R155"/>
  <c r="R246"/>
  <c r="Q246"/>
  <c r="R308"/>
  <c r="Q308"/>
  <c r="L58" i="2"/>
  <c r="M55"/>
  <c r="Q104" i="1"/>
  <c r="R104"/>
  <c r="R230"/>
  <c r="Q230"/>
  <c r="Q225"/>
  <c r="R225"/>
  <c r="R193"/>
  <c r="Q193"/>
  <c r="R188"/>
  <c r="Q188"/>
  <c r="X47" i="2"/>
  <c r="AA47"/>
  <c r="U47"/>
  <c r="R89" i="1"/>
  <c r="Q89"/>
  <c r="Q95"/>
  <c r="R95"/>
  <c r="R73"/>
  <c r="Q73"/>
  <c r="Q72"/>
  <c r="R72"/>
  <c r="R81"/>
  <c r="Q81"/>
  <c r="R85"/>
  <c r="Q85"/>
  <c r="R272"/>
  <c r="Q272"/>
  <c r="Q270"/>
  <c r="R270"/>
  <c r="R49"/>
  <c r="Q49"/>
  <c r="Q255"/>
  <c r="R255"/>
  <c r="Q130"/>
  <c r="Q132"/>
  <c r="Q133"/>
  <c r="R130"/>
  <c r="R173"/>
  <c r="Q173"/>
  <c r="R145"/>
  <c r="Q145"/>
  <c r="R156"/>
  <c r="Q156"/>
  <c r="Q153"/>
  <c r="R153"/>
  <c r="R114"/>
  <c r="Q114"/>
  <c r="R247"/>
  <c r="Q247"/>
  <c r="R311"/>
  <c r="Q311"/>
  <c r="R309"/>
  <c r="Q309"/>
  <c r="Q105"/>
  <c r="R105"/>
  <c r="Q231"/>
  <c r="R231"/>
  <c r="Q229"/>
  <c r="R229"/>
  <c r="R227"/>
  <c r="Q227"/>
  <c r="R190"/>
  <c r="Q190"/>
  <c r="R88"/>
  <c r="Q88"/>
  <c r="R97"/>
  <c r="Q97"/>
  <c r="R91"/>
  <c r="Q91"/>
  <c r="Q86"/>
  <c r="R86"/>
  <c r="Q82"/>
  <c r="R82"/>
  <c r="R83"/>
  <c r="Q83"/>
  <c r="Q77"/>
  <c r="R77"/>
  <c r="Q122"/>
  <c r="R122"/>
  <c r="P126"/>
  <c r="R123"/>
  <c r="Q218"/>
  <c r="Q219"/>
  <c r="Q313"/>
  <c r="Q314"/>
  <c r="Q117"/>
  <c r="Q118"/>
  <c r="R39"/>
  <c r="Q39"/>
  <c r="P296"/>
  <c r="N296"/>
  <c r="O219"/>
  <c r="N219"/>
  <c r="P219"/>
  <c r="Q29"/>
  <c r="R29"/>
  <c r="O52"/>
  <c r="N52"/>
  <c r="P52"/>
  <c r="P278"/>
  <c r="N278"/>
  <c r="O68"/>
  <c r="P68"/>
  <c r="N68"/>
  <c r="Q38"/>
  <c r="R38"/>
  <c r="P259"/>
  <c r="O259"/>
  <c r="N259"/>
  <c r="N234"/>
  <c r="P234"/>
  <c r="P211"/>
  <c r="N211"/>
  <c r="Q37"/>
  <c r="R37"/>
  <c r="P59"/>
  <c r="N59"/>
  <c r="P241"/>
  <c r="N241"/>
  <c r="O241"/>
  <c r="Q175"/>
  <c r="Q176"/>
  <c r="Q233"/>
  <c r="Q234"/>
  <c r="Q51"/>
  <c r="Q52"/>
  <c r="Q125"/>
  <c r="Q126"/>
  <c r="Q196"/>
  <c r="Q197"/>
  <c r="P100"/>
  <c r="N100"/>
  <c r="N197"/>
  <c r="P197"/>
  <c r="N204"/>
  <c r="O204"/>
  <c r="P204"/>
  <c r="P176"/>
  <c r="N176"/>
  <c r="N314"/>
  <c r="P314"/>
  <c r="P250"/>
  <c r="N250"/>
  <c r="N133"/>
  <c r="P133"/>
  <c r="R30"/>
  <c r="Q30"/>
  <c r="O109"/>
  <c r="N109"/>
  <c r="P109"/>
  <c r="M58" i="2"/>
  <c r="M61"/>
  <c r="L61"/>
  <c r="N118" i="1"/>
  <c r="P118"/>
  <c r="W9"/>
  <c r="Q108"/>
  <c r="Q109"/>
  <c r="Q99"/>
  <c r="Q100"/>
  <c r="Q277"/>
  <c r="Q278"/>
  <c r="Q67"/>
  <c r="Q68"/>
  <c r="Q249"/>
  <c r="Q250"/>
  <c r="Q58"/>
  <c r="Q59"/>
  <c r="Q258"/>
  <c r="Q259"/>
  <c r="Q32"/>
  <c r="Q33"/>
  <c r="U45" i="2"/>
  <c r="N126" i="1"/>
  <c r="O126"/>
  <c r="Q41"/>
  <c r="Q42"/>
  <c r="X34" i="2"/>
  <c r="AA34"/>
  <c r="U34"/>
  <c r="X37"/>
  <c r="U37"/>
  <c r="AA37"/>
  <c r="U42"/>
  <c r="X42"/>
  <c r="AA42"/>
  <c r="X36"/>
  <c r="AA36"/>
  <c r="U36"/>
  <c r="U50"/>
  <c r="AA50"/>
  <c r="X50"/>
  <c r="AA28"/>
  <c r="U28"/>
  <c r="X28"/>
  <c r="AA35"/>
  <c r="U35"/>
  <c r="X35"/>
  <c r="AA51"/>
  <c r="U51"/>
  <c r="X51"/>
  <c r="V4" i="1"/>
  <c r="W8"/>
  <c r="AA30" i="2"/>
  <c r="U30"/>
  <c r="X30"/>
  <c r="U32"/>
  <c r="AA32"/>
  <c r="X32"/>
  <c r="U48"/>
  <c r="AA48"/>
  <c r="X48"/>
  <c r="U29"/>
  <c r="AA29"/>
  <c r="X29"/>
  <c r="AA43"/>
  <c r="X43"/>
  <c r="U43"/>
  <c r="P42" i="1"/>
  <c r="N42"/>
  <c r="W4"/>
  <c r="U31" i="2"/>
  <c r="AA31"/>
  <c r="X31"/>
  <c r="AA33"/>
  <c r="X33"/>
  <c r="U33"/>
  <c r="Q59"/>
  <c r="X9" i="1"/>
  <c r="N7"/>
  <c r="X6"/>
  <c r="X7"/>
  <c r="AA44" i="2"/>
  <c r="U44"/>
  <c r="X44"/>
  <c r="U39"/>
  <c r="X39"/>
  <c r="AA39"/>
  <c r="N8" i="1"/>
  <c r="O33"/>
  <c r="N33"/>
  <c r="P33"/>
  <c r="U49" i="2"/>
  <c r="AA49"/>
  <c r="X49"/>
  <c r="U38"/>
  <c r="AA38"/>
  <c r="X38"/>
  <c r="X45"/>
  <c r="AA45"/>
  <c r="N9" i="1"/>
  <c r="P7"/>
  <c r="Q8"/>
  <c r="Q9"/>
  <c r="R9"/>
  <c r="AA41" i="2"/>
  <c r="X41"/>
  <c r="U41"/>
  <c r="V43"/>
  <c r="O7" i="1"/>
  <c r="O9"/>
  <c r="X27" i="2"/>
  <c r="AA27"/>
  <c r="U27"/>
  <c r="V27"/>
  <c r="Q55"/>
  <c r="Q60"/>
  <c r="X8" i="1"/>
  <c r="V28" i="2"/>
  <c r="AB50"/>
  <c r="Y29"/>
  <c r="Y38"/>
  <c r="AB48"/>
  <c r="V32"/>
  <c r="AB45"/>
  <c r="V29"/>
  <c r="Y28"/>
  <c r="V38"/>
  <c r="V34"/>
  <c r="V48"/>
  <c r="AB37"/>
  <c r="AB39"/>
  <c r="AB52"/>
  <c r="V45"/>
  <c r="AB49"/>
  <c r="AB34"/>
  <c r="AB51"/>
  <c r="V31"/>
  <c r="AB42"/>
  <c r="V44"/>
  <c r="AB32"/>
  <c r="V35"/>
  <c r="P9" i="1"/>
  <c r="V37" i="2"/>
  <c r="Y41"/>
  <c r="AB35"/>
  <c r="AB44"/>
  <c r="Y39"/>
  <c r="Y51"/>
  <c r="Y31"/>
  <c r="Y50"/>
  <c r="Y37"/>
  <c r="Y43"/>
  <c r="Y45"/>
  <c r="Y34"/>
  <c r="Y35"/>
  <c r="V50"/>
  <c r="AB41"/>
  <c r="V42"/>
  <c r="V51"/>
  <c r="AB43"/>
  <c r="V49"/>
  <c r="V36"/>
  <c r="V30"/>
  <c r="Q61"/>
  <c r="Q63"/>
  <c r="Q58"/>
  <c r="Y52"/>
  <c r="Y53"/>
  <c r="Y27"/>
  <c r="Y46"/>
  <c r="Y47"/>
  <c r="V46"/>
  <c r="V41"/>
  <c r="V52"/>
  <c r="V53"/>
  <c r="V47"/>
  <c r="AB46"/>
  <c r="AB27"/>
  <c r="AB53"/>
  <c r="AB47"/>
  <c r="Y48"/>
  <c r="Y42"/>
  <c r="Y44"/>
  <c r="Y30"/>
  <c r="Y36"/>
  <c r="Y33"/>
  <c r="AB29"/>
  <c r="AB36"/>
  <c r="AB30"/>
  <c r="AB31"/>
  <c r="AB38"/>
  <c r="AB33"/>
  <c r="Y49"/>
  <c r="AB28"/>
  <c r="Y32"/>
  <c r="V39"/>
  <c r="V33"/>
  <c r="Q64"/>
  <c r="R61"/>
  <c r="R56"/>
  <c r="R57"/>
  <c r="R59"/>
  <c r="R60"/>
  <c r="R55"/>
  <c r="R58"/>
  <c r="R64"/>
</calcChain>
</file>

<file path=xl/comments1.xml><?xml version="1.0" encoding="utf-8"?>
<comments xmlns="http://schemas.openxmlformats.org/spreadsheetml/2006/main">
  <authors>
    <author>sgamble</author>
  </authors>
  <commentList>
    <comment ref="L29" authorId="0">
      <text>
        <r>
          <rPr>
            <b/>
            <sz val="9"/>
            <color indexed="81"/>
            <rFont val="Tahoma"/>
            <charset val="1"/>
          </rPr>
          <t>Figure includes force majuere award.</t>
        </r>
      </text>
    </comment>
    <comment ref="L33" authorId="0">
      <text>
        <r>
          <rPr>
            <sz val="9"/>
            <color indexed="81"/>
            <rFont val="Tahoma"/>
            <charset val="1"/>
          </rPr>
          <t>figure includes force majuere award.</t>
        </r>
      </text>
    </comment>
    <comment ref="L38" authorId="0">
      <text>
        <r>
          <rPr>
            <b/>
            <sz val="9"/>
            <color indexed="81"/>
            <rFont val="Tahoma"/>
            <charset val="1"/>
          </rPr>
          <t>Figure include force majuere award.</t>
        </r>
      </text>
    </comment>
  </commentList>
</comments>
</file>

<file path=xl/sharedStrings.xml><?xml version="1.0" encoding="utf-8"?>
<sst xmlns="http://schemas.openxmlformats.org/spreadsheetml/2006/main" count="1676" uniqueCount="740">
  <si>
    <t>Region</t>
  </si>
  <si>
    <t>Funded Initially</t>
  </si>
  <si>
    <t>Funded in Rural Collapse</t>
  </si>
  <si>
    <t>Funded in  SW Collapse</t>
  </si>
  <si>
    <t>At-Risk</t>
  </si>
  <si>
    <t>Final Funding Amount</t>
  </si>
  <si>
    <t>Rural</t>
  </si>
  <si>
    <t>Lubbock</t>
  </si>
  <si>
    <t>Abilene</t>
  </si>
  <si>
    <t>Tyler</t>
  </si>
  <si>
    <t>Beaumont</t>
  </si>
  <si>
    <t>Houston</t>
  </si>
  <si>
    <t>Waco</t>
  </si>
  <si>
    <t>Brownsville/Harlingen</t>
  </si>
  <si>
    <t>Urban</t>
  </si>
  <si>
    <t>Urban Totals</t>
  </si>
  <si>
    <t>Available</t>
  </si>
  <si>
    <t>Region 1</t>
  </si>
  <si>
    <t>Requested</t>
  </si>
  <si>
    <t>Recommended</t>
  </si>
  <si>
    <t>(Over)/Under</t>
  </si>
  <si>
    <t>Region 2</t>
  </si>
  <si>
    <t>Total Funded</t>
  </si>
  <si>
    <t>USDA-RD</t>
  </si>
  <si>
    <t>(over)/under</t>
  </si>
  <si>
    <t>Initial Funding</t>
  </si>
  <si>
    <t>Rural Collaspe</t>
  </si>
  <si>
    <t>SW Collapse</t>
  </si>
  <si>
    <t>Development Name</t>
  </si>
  <si>
    <t>Application Number</t>
  </si>
  <si>
    <t xml:space="preserve">Subregion
</t>
  </si>
  <si>
    <t>Remaining</t>
  </si>
  <si>
    <t>Recommended Awards</t>
  </si>
  <si>
    <t>Amount Based Purely on RAF</t>
  </si>
  <si>
    <t>Annual Allocation</t>
  </si>
  <si>
    <t>State Credit Ceiling Based on Population</t>
  </si>
  <si>
    <t>Additional or Less Credits to Distribute with Regional Allocation Formula, Not Specific Region/ Pot (National Pool, Returned Credits, etc.)</t>
  </si>
  <si>
    <t>Type</t>
  </si>
  <si>
    <t>Credit Amount</t>
  </si>
  <si>
    <t>National Pool</t>
  </si>
  <si>
    <t>At-Risk Set-Aside</t>
  </si>
  <si>
    <t>USDA Set-Aside</t>
  </si>
  <si>
    <t>Rural Set-Aside</t>
  </si>
  <si>
    <t>10% Non-Profit Set Aside</t>
  </si>
  <si>
    <t>Region 3</t>
  </si>
  <si>
    <t>Region 4</t>
  </si>
  <si>
    <t>Region 5</t>
  </si>
  <si>
    <t>Region 6</t>
  </si>
  <si>
    <t>Region 7</t>
  </si>
  <si>
    <t>Region 8</t>
  </si>
  <si>
    <t>Region 9</t>
  </si>
  <si>
    <t>Region 10</t>
  </si>
  <si>
    <t>Region 11</t>
  </si>
  <si>
    <t>Region 12</t>
  </si>
  <si>
    <t>Region 13</t>
  </si>
  <si>
    <t>Primary Contact Person</t>
  </si>
  <si>
    <t>Rank</t>
  </si>
  <si>
    <t>TDHCA#</t>
  </si>
  <si>
    <t>USDA</t>
  </si>
  <si>
    <t>Construction Type</t>
  </si>
  <si>
    <t>Regional Awards</t>
  </si>
  <si>
    <t>USDA Awards</t>
  </si>
  <si>
    <t>At Risk (non-USDA) Awards</t>
  </si>
  <si>
    <t>Remaining Funds</t>
  </si>
  <si>
    <t>Total Awards</t>
  </si>
  <si>
    <t>Total Funds</t>
  </si>
  <si>
    <t>Nonprofit total</t>
  </si>
  <si>
    <t>Completed Underwriting</t>
  </si>
  <si>
    <t>Texas Department of Housing and Community Affairs</t>
  </si>
  <si>
    <t>Request/ Underwritten Amount</t>
  </si>
  <si>
    <r>
      <t>Notes</t>
    </r>
    <r>
      <rPr>
        <sz val="10"/>
        <rFont val="Arial Narrow"/>
        <family val="2"/>
      </rPr>
      <t xml:space="preserve">
(Related to sub-regions with no awards prior to the rural or statewide collapses)</t>
    </r>
  </si>
  <si>
    <t>Rural Collapse</t>
  </si>
  <si>
    <t>Statewide Collapse</t>
  </si>
  <si>
    <t>**National Pool</t>
  </si>
  <si>
    <t>Total Remaining</t>
  </si>
  <si>
    <t>**National Pool is received subsequent to July awards and goes directly to Statewide Collapse.</t>
  </si>
  <si>
    <t>Amount needed to reach $500,000</t>
  </si>
  <si>
    <t>Amount over $500,000 that can be reallocated</t>
  </si>
  <si>
    <t>Proportion of amount available to be reallocated</t>
  </si>
  <si>
    <t>Allocation %</t>
  </si>
  <si>
    <t>Rural Totals</t>
  </si>
  <si>
    <t>Rate Per IRS</t>
  </si>
  <si>
    <t>Pop. Released</t>
  </si>
  <si>
    <t>dev name</t>
  </si>
  <si>
    <t>dev address</t>
  </si>
  <si>
    <t>dev city</t>
  </si>
  <si>
    <t>dev zip</t>
  </si>
  <si>
    <t>dev county</t>
  </si>
  <si>
    <t>region</t>
  </si>
  <si>
    <t>rural/urban</t>
  </si>
  <si>
    <t>HTC at-risk</t>
  </si>
  <si>
    <t>HTC USDA</t>
  </si>
  <si>
    <t>HTC NP</t>
  </si>
  <si>
    <t>target pop</t>
  </si>
  <si>
    <t>HOME$</t>
  </si>
  <si>
    <t>HOME CHDO</t>
  </si>
  <si>
    <t>9HTC$</t>
  </si>
  <si>
    <t>app contact name</t>
  </si>
  <si>
    <t>2contact name</t>
  </si>
  <si>
    <t>total self score</t>
  </si>
  <si>
    <t>census tract#</t>
  </si>
  <si>
    <t>File Number</t>
  </si>
  <si>
    <t>Geographic Area</t>
  </si>
  <si>
    <t>Initial Sub-Region Amount</t>
  </si>
  <si>
    <t>Sub-Region Amount after Returns</t>
  </si>
  <si>
    <t>Amount to be Reallocated</t>
  </si>
  <si>
    <t>Max Funding Request/Award Limits</t>
  </si>
  <si>
    <t>Regional Totals</t>
  </si>
  <si>
    <t>At-Risk Totals</t>
  </si>
  <si>
    <t>USDA (From At-Risk)</t>
  </si>
  <si>
    <t>Grand Totals</t>
  </si>
  <si>
    <r>
      <t>Dallas/Fort</t>
    </r>
    <r>
      <rPr>
        <b/>
        <sz val="11"/>
        <color indexed="8"/>
        <rFont val="Cambria"/>
        <family val="1"/>
      </rPr>
      <t xml:space="preserve"> </t>
    </r>
    <r>
      <rPr>
        <sz val="11"/>
        <color indexed="8"/>
        <rFont val="Cambria"/>
        <family val="1"/>
      </rPr>
      <t>Worth</t>
    </r>
  </si>
  <si>
    <r>
      <t>Austin/Round</t>
    </r>
    <r>
      <rPr>
        <b/>
        <sz val="11"/>
        <color indexed="8"/>
        <rFont val="Cambria"/>
        <family val="1"/>
      </rPr>
      <t xml:space="preserve"> </t>
    </r>
    <r>
      <rPr>
        <sz val="11"/>
        <color indexed="8"/>
        <rFont val="Cambria"/>
        <family val="1"/>
      </rPr>
      <t>Rock</t>
    </r>
  </si>
  <si>
    <r>
      <t>San</t>
    </r>
    <r>
      <rPr>
        <b/>
        <sz val="11"/>
        <color indexed="8"/>
        <rFont val="Cambria"/>
        <family val="1"/>
      </rPr>
      <t xml:space="preserve"> </t>
    </r>
    <r>
      <rPr>
        <sz val="11"/>
        <color indexed="8"/>
        <rFont val="Cambria"/>
        <family val="1"/>
      </rPr>
      <t>Antonio</t>
    </r>
  </si>
  <si>
    <r>
      <t>Corpus</t>
    </r>
    <r>
      <rPr>
        <b/>
        <sz val="11"/>
        <color indexed="8"/>
        <rFont val="Cambria"/>
        <family val="1"/>
      </rPr>
      <t xml:space="preserve"> </t>
    </r>
    <r>
      <rPr>
        <sz val="11"/>
        <color indexed="8"/>
        <rFont val="Cambria"/>
        <family val="1"/>
      </rPr>
      <t>Christi</t>
    </r>
  </si>
  <si>
    <r>
      <t>San</t>
    </r>
    <r>
      <rPr>
        <b/>
        <sz val="11"/>
        <color indexed="8"/>
        <rFont val="Cambria"/>
        <family val="1"/>
      </rPr>
      <t xml:space="preserve"> </t>
    </r>
    <r>
      <rPr>
        <sz val="11"/>
        <color indexed="8"/>
        <rFont val="Cambria"/>
        <family val="1"/>
      </rPr>
      <t>Angelo</t>
    </r>
  </si>
  <si>
    <r>
      <t>El</t>
    </r>
    <r>
      <rPr>
        <b/>
        <sz val="11"/>
        <color indexed="8"/>
        <rFont val="Cambria"/>
        <family val="1"/>
      </rPr>
      <t xml:space="preserve"> </t>
    </r>
    <r>
      <rPr>
        <sz val="11"/>
        <color indexed="8"/>
        <rFont val="Cambria"/>
        <family val="1"/>
      </rPr>
      <t>Paso</t>
    </r>
  </si>
  <si>
    <t>final score</t>
  </si>
  <si>
    <t>Rural/Urban</t>
  </si>
  <si>
    <t>Non-Profit</t>
  </si>
  <si>
    <t>Application #</t>
  </si>
  <si>
    <t>Application Name</t>
  </si>
  <si>
    <t>Compliance Status</t>
  </si>
  <si>
    <t>REA Credit Amount</t>
  </si>
  <si>
    <t>HOME</t>
  </si>
  <si>
    <t>TCAP</t>
  </si>
  <si>
    <t>CHDO</t>
  </si>
  <si>
    <t>UR</t>
  </si>
  <si>
    <t>C</t>
  </si>
  <si>
    <t>REA</t>
  </si>
  <si>
    <t>Program</t>
  </si>
  <si>
    <t>status</t>
  </si>
  <si>
    <t>notes</t>
  </si>
  <si>
    <t>USDA Available</t>
  </si>
  <si>
    <t xml:space="preserve">                                                                                                                                                                                                                                       </t>
  </si>
  <si>
    <t xml:space="preserve">  </t>
  </si>
  <si>
    <t xml:space="preserve">Maximum Percentage Elderly </t>
  </si>
  <si>
    <t xml:space="preserve">Maximum Elderly Funding Limit </t>
  </si>
  <si>
    <t>n/a</t>
  </si>
  <si>
    <t>NOTES:</t>
  </si>
  <si>
    <t xml:space="preserve">             </t>
  </si>
  <si>
    <t xml:space="preserve">                          </t>
  </si>
  <si>
    <t>program status</t>
  </si>
  <si>
    <t>rea status</t>
  </si>
  <si>
    <t>REA Stutus</t>
  </si>
  <si>
    <t>MF Status</t>
  </si>
  <si>
    <t>Request Amount</t>
  </si>
  <si>
    <t>Rural total</t>
  </si>
  <si>
    <t xml:space="preserve">AWARDS SUMMARY BY SUB-REGION </t>
  </si>
  <si>
    <t>REQUEST LIMITS</t>
  </si>
  <si>
    <t>Returned Credits to Regions/Set-Asides (in 2018)</t>
  </si>
  <si>
    <t>Credits Carried Forward from 2017 (8610)</t>
  </si>
  <si>
    <t>2018 STATE OF TEXAS, COMPETITIVE HOUSING TAX CREDIT CEILING ACCOUNTING SUMMARY</t>
  </si>
  <si>
    <t>2018 Calendar Year Returns</t>
  </si>
  <si>
    <t>San Antonio</t>
  </si>
  <si>
    <t>Corpus Christi</t>
  </si>
  <si>
    <t>San Angelo</t>
  </si>
  <si>
    <t>El Paso</t>
  </si>
  <si>
    <t>Evergreen at Garland Senior Community</t>
  </si>
  <si>
    <t>Approximate 1102 N. Shiloh Road</t>
  </si>
  <si>
    <t xml:space="preserve">Garland </t>
  </si>
  <si>
    <t>Dallas</t>
  </si>
  <si>
    <t>x</t>
  </si>
  <si>
    <t>New Construction</t>
  </si>
  <si>
    <t>Elderly Limitation</t>
  </si>
  <si>
    <t>Brad Forslund</t>
  </si>
  <si>
    <t>Becky Villanueva</t>
  </si>
  <si>
    <t>Evergreen at Basswood Senior Community</t>
  </si>
  <si>
    <t>Approximate 1901 State Highway 66</t>
  </si>
  <si>
    <t>Palladium Celina Senior Living</t>
  </si>
  <si>
    <t>south side of E. Sunset Blvd and west of County Road 89, City of Celina</t>
  </si>
  <si>
    <t>Celina</t>
  </si>
  <si>
    <t>Collin</t>
  </si>
  <si>
    <t>Thomas E. Huth</t>
  </si>
  <si>
    <t>Ryan Combs</t>
  </si>
  <si>
    <t>Palladium Farmersville</t>
  </si>
  <si>
    <t>south side of W Audie Murphy Pkwy and west of 607</t>
  </si>
  <si>
    <t>Farmersville</t>
  </si>
  <si>
    <t>General</t>
  </si>
  <si>
    <t>Residences of Long Branch</t>
  </si>
  <si>
    <t>4217 Rowlett Road</t>
  </si>
  <si>
    <t>Rowlett</t>
  </si>
  <si>
    <t>Jean Latsha</t>
  </si>
  <si>
    <t>Craig Lintner</t>
  </si>
  <si>
    <t xml:space="preserve">Lavon Senior Villas </t>
  </si>
  <si>
    <t>902 Lavon Dr.</t>
  </si>
  <si>
    <t>Garland</t>
  </si>
  <si>
    <t>David Yarden</t>
  </si>
  <si>
    <t>Lisa Davis</t>
  </si>
  <si>
    <t>Patriot Park Family</t>
  </si>
  <si>
    <t>1306 F Avenue</t>
  </si>
  <si>
    <t>Plano</t>
  </si>
  <si>
    <t>Jean Brown</t>
  </si>
  <si>
    <t>Dan Allgeier</t>
  </si>
  <si>
    <t>Cielo at Mountain Creek</t>
  </si>
  <si>
    <t>SWQ Camp Wisdom Road &amp; Mountain Creek Parkway</t>
  </si>
  <si>
    <t>Sara Reidy</t>
  </si>
  <si>
    <t>Colette Whitehorse</t>
  </si>
  <si>
    <t>Mariposa Apartment Homes at Westchester</t>
  </si>
  <si>
    <t>Approximately 11 East Polo Road</t>
  </si>
  <si>
    <t>Grand Prairie</t>
  </si>
  <si>
    <t>Stuart Shaw</t>
  </si>
  <si>
    <t>Casey Bump</t>
  </si>
  <si>
    <t>Mariposa Apartment Homes at Waxahachie</t>
  </si>
  <si>
    <t>Approximately the northwest quadrant of Post Oak Drive and US 287</t>
  </si>
  <si>
    <t>Waxahachie</t>
  </si>
  <si>
    <t>Ellis</t>
  </si>
  <si>
    <t>Cypress Creek Apartment Homes at Hazelwood Street</t>
  </si>
  <si>
    <t>Approximately the 600 block of E Hazelwood Street</t>
  </si>
  <si>
    <t>Princeton</t>
  </si>
  <si>
    <t>Donald Sampley</t>
  </si>
  <si>
    <t>Laura Leshikar</t>
  </si>
  <si>
    <t>Circle F Ranch Lofts</t>
  </si>
  <si>
    <t>NE Quadrant of Future Hardin Blvd (FM 164) and Future Community Ave (FM 201)</t>
  </si>
  <si>
    <t>McKinney</t>
  </si>
  <si>
    <t>Brandon Bolin</t>
  </si>
  <si>
    <t>Matt Higgins</t>
  </si>
  <si>
    <t>Circle F Ranch Seniors</t>
  </si>
  <si>
    <t>2400 Bryan</t>
  </si>
  <si>
    <t>2400 Bryan Street</t>
  </si>
  <si>
    <t>D. Scott Galbraith</t>
  </si>
  <si>
    <t>Lisa Vecchietti</t>
  </si>
  <si>
    <t>Heritage at Wylie</t>
  </si>
  <si>
    <t>2300 Block of County Line Road</t>
  </si>
  <si>
    <t>Wylie</t>
  </si>
  <si>
    <t>Rockwall</t>
  </si>
  <si>
    <t>Lisa M. Rucker</t>
  </si>
  <si>
    <t>Robert G. Hoskins</t>
  </si>
  <si>
    <t>The Reserves at Maplewood II</t>
  </si>
  <si>
    <t>S side of Maplewood Ave, E of McNiel Ave</t>
  </si>
  <si>
    <t>Wichita Falls</t>
  </si>
  <si>
    <t>Wichita</t>
  </si>
  <si>
    <t>Sally Roth</t>
  </si>
  <si>
    <t>Alyssa Carpenter</t>
  </si>
  <si>
    <t>Canova Palms</t>
  </si>
  <si>
    <t>NEQ of W Pioneer Dr and W Irving Blvd</t>
  </si>
  <si>
    <t>Irving</t>
  </si>
  <si>
    <t>Lisa Stephens</t>
  </si>
  <si>
    <t>Oliver Commons</t>
  </si>
  <si>
    <t>SEQ of Rock Island Rd and S Briery Rd</t>
  </si>
  <si>
    <t>The Reserves at Merriwood Ranch</t>
  </si>
  <si>
    <t>S side of E Miller Rd, E of E Centerville Rd</t>
  </si>
  <si>
    <t>Iowa Park Pioneer Crossing</t>
  </si>
  <si>
    <t>0.332 southeast of SEC of 287 at N Bell Road.</t>
  </si>
  <si>
    <t>Iowa Park</t>
  </si>
  <si>
    <t>Noor Jooma</t>
  </si>
  <si>
    <t>Lora Myrick</t>
  </si>
  <si>
    <t>Burkburnett Royal Gardens</t>
  </si>
  <si>
    <t>350 D W Taylor (south of 109 W. Williams Dr)</t>
  </si>
  <si>
    <t>Burkburnett</t>
  </si>
  <si>
    <t>Wichita Falls Pioneer Crossing</t>
  </si>
  <si>
    <t>1038 W. Wenonah Blvd.</t>
  </si>
  <si>
    <t>Lakeview Pointe Apartments</t>
  </si>
  <si>
    <t>N side of IH 30, E of Bass Pro Dr</t>
  </si>
  <si>
    <t>Deepak P. Sulakhe</t>
  </si>
  <si>
    <t>The Park on 14th</t>
  </si>
  <si>
    <t>Southwest corner of 14th Street and G Avenue</t>
  </si>
  <si>
    <t>Janine Sisak</t>
  </si>
  <si>
    <t>Nicole Mwei</t>
  </si>
  <si>
    <t>Rosemount Estates</t>
  </si>
  <si>
    <t>The approximate 4800 block of Airport, just south of Airport and west of FM 2218</t>
  </si>
  <si>
    <t>Rosenberg</t>
  </si>
  <si>
    <t>Fort Bend</t>
  </si>
  <si>
    <t>Ryan Hettig</t>
  </si>
  <si>
    <t>Ann Duggin</t>
  </si>
  <si>
    <t>Edgemere Palms</t>
  </si>
  <si>
    <t>Near NWC Edgemere and Zaragoza</t>
  </si>
  <si>
    <t>R.L. "Bobby" Bowling, IV</t>
  </si>
  <si>
    <t>Demetrio Jimenez</t>
  </si>
  <si>
    <t>Jamie O Perez Memorial Apartments</t>
  </si>
  <si>
    <t xml:space="preserve">Northwest quadrant of Nevarez Road and Alameda </t>
  </si>
  <si>
    <t>Socorro</t>
  </si>
  <si>
    <t>Dayton  Retirement Center</t>
  </si>
  <si>
    <t>1900 N Winfree</t>
  </si>
  <si>
    <t>Dayton</t>
  </si>
  <si>
    <t>Liberty</t>
  </si>
  <si>
    <t>Acquisition/Rehab</t>
  </si>
  <si>
    <t>Charles Holcomb</t>
  </si>
  <si>
    <t>Ofelia Elixondo</t>
  </si>
  <si>
    <t>Cambrian East Riverside</t>
  </si>
  <si>
    <t>1806 Clubview Avenue</t>
  </si>
  <si>
    <t>Austin</t>
  </si>
  <si>
    <t>Travis</t>
  </si>
  <si>
    <t>Jason Haskins</t>
  </si>
  <si>
    <t>Megan Lasch</t>
  </si>
  <si>
    <t>Columbia Renaissance Square II Senior</t>
  </si>
  <si>
    <t>Approx 2801 Moresby St</t>
  </si>
  <si>
    <t>Fort Worth</t>
  </si>
  <si>
    <t>Tarrant</t>
  </si>
  <si>
    <t>Ben King</t>
  </si>
  <si>
    <t>Clara Trejos</t>
  </si>
  <si>
    <t>Highlander Senior Village</t>
  </si>
  <si>
    <t>west of Johnson Way, north of FM1863</t>
  </si>
  <si>
    <t>Bulverde</t>
  </si>
  <si>
    <t>Comal</t>
  </si>
  <si>
    <t>Brian Kimes</t>
  </si>
  <si>
    <t>Jim Markel</t>
  </si>
  <si>
    <t>St. Elizabeth Place</t>
  </si>
  <si>
    <t>4514 Lyons Avenue</t>
  </si>
  <si>
    <t>Harris</t>
  </si>
  <si>
    <t>Jessica Thompson</t>
  </si>
  <si>
    <t>Tim Cantwell</t>
  </si>
  <si>
    <t>The Vireo</t>
  </si>
  <si>
    <t>SWC Tidwell Rd. and C.E. King Pkwy</t>
  </si>
  <si>
    <t>Houston ETJ</t>
  </si>
  <si>
    <t>Teresa Bowyer</t>
  </si>
  <si>
    <t>Ross Merder</t>
  </si>
  <si>
    <t>Maple Park Senior Village</t>
  </si>
  <si>
    <t xml:space="preserve">Clearfork Street; west of City Line Road </t>
  </si>
  <si>
    <t>Lockhart</t>
  </si>
  <si>
    <t>Caldwell</t>
  </si>
  <si>
    <t>The Miramonte</t>
  </si>
  <si>
    <t>Moore Road (between Court Rd &amp; 5th St)</t>
  </si>
  <si>
    <t>Fifth Street CDP</t>
  </si>
  <si>
    <t>Mark Musemeche</t>
  </si>
  <si>
    <t>Ofelia Elizondo</t>
  </si>
  <si>
    <t>Clyde Ranch</t>
  </si>
  <si>
    <t>IH-20 approx .6 miles west of N. Hays Road</t>
  </si>
  <si>
    <t>Clyde</t>
  </si>
  <si>
    <t>Callahan</t>
  </si>
  <si>
    <t>Daniel Sailler, III</t>
  </si>
  <si>
    <t>Sarah Andre</t>
  </si>
  <si>
    <t>3rd Street Lofts</t>
  </si>
  <si>
    <t>301 Paris Avenue</t>
  </si>
  <si>
    <t>Orchid Circle Homes &amp; Las Palmas Homes</t>
  </si>
  <si>
    <t>See Tab 13-Scattered site locations</t>
  </si>
  <si>
    <t>Gregory</t>
  </si>
  <si>
    <t>San Patricio</t>
  </si>
  <si>
    <t>Art Schuldt, Jr.</t>
  </si>
  <si>
    <t>Micah Strange</t>
  </si>
  <si>
    <t>Farmhouse Row</t>
  </si>
  <si>
    <t>Approx. 15003 FM 400</t>
  </si>
  <si>
    <t>Slaton</t>
  </si>
  <si>
    <t>Huntington at Miramonte</t>
  </si>
  <si>
    <t>Hunter Goodwin</t>
  </si>
  <si>
    <t>Casey Oldham</t>
  </si>
  <si>
    <t>Miramonte Single Living</t>
  </si>
  <si>
    <t>Nacogdoches Lofts</t>
  </si>
  <si>
    <t>Nacogdoches Road north of Spring Farm Street</t>
  </si>
  <si>
    <t>Bexar</t>
  </si>
  <si>
    <t>Jason Arechiga</t>
  </si>
  <si>
    <t>Debra Guerrero</t>
  </si>
  <si>
    <t>Alazan Lofts</t>
  </si>
  <si>
    <t>Scattered sites surrounding the intersection of El Paso St and Colorado St</t>
  </si>
  <si>
    <t>David Nisivoccia</t>
  </si>
  <si>
    <t>Piedmont Lofts</t>
  </si>
  <si>
    <t>826 E Highland Blvd</t>
  </si>
  <si>
    <t>Granbury Manor</t>
  </si>
  <si>
    <t>Meander Road, south of North Fork Court</t>
  </si>
  <si>
    <t>Granbury</t>
  </si>
  <si>
    <t>Hood</t>
  </si>
  <si>
    <t>David R. Rhodes</t>
  </si>
  <si>
    <t>Kelsey Herr</t>
  </si>
  <si>
    <t>SE corner of Lakeway &amp; Midtown Loop (a to be built street)</t>
  </si>
  <si>
    <t>College Station</t>
  </si>
  <si>
    <t>Brazos</t>
  </si>
  <si>
    <t>R. Hunter Goodwin</t>
  </si>
  <si>
    <t>Casey M. Oldham</t>
  </si>
  <si>
    <t>Palladium Fain Street</t>
  </si>
  <si>
    <t>north side of Fain Street west of Kings Highway</t>
  </si>
  <si>
    <t>Supportive Housing</t>
  </si>
  <si>
    <t>Palladium Crowley</t>
  </si>
  <si>
    <t>north side of Crowley Plover Road and east of Canoe Way</t>
  </si>
  <si>
    <t>Crowley</t>
  </si>
  <si>
    <t>Palladium Teasley Lane</t>
  </si>
  <si>
    <t>on the west side of Teasley Lane and north of Hickory Creek Road</t>
  </si>
  <si>
    <t>Denton</t>
  </si>
  <si>
    <t>Park Forest</t>
  </si>
  <si>
    <t>200 Cook Rd.</t>
  </si>
  <si>
    <t>Devin Baker</t>
  </si>
  <si>
    <t>James E. Washburn</t>
  </si>
  <si>
    <t>Pathways at Chalmers Courts East</t>
  </si>
  <si>
    <t>SW Corner of Chicon St. and E. 4th St.</t>
  </si>
  <si>
    <t>Suzanne Schwertner</t>
  </si>
  <si>
    <t>Will Henderson</t>
  </si>
  <si>
    <t>Artisan at Ruiz</t>
  </si>
  <si>
    <t xml:space="preserve">1507 Ruiz </t>
  </si>
  <si>
    <t xml:space="preserve">Bexar </t>
  </si>
  <si>
    <t>Lucila Diaz</t>
  </si>
  <si>
    <t>The Village at Overlook Parkway</t>
  </si>
  <si>
    <t>Overlook Parkway and U.S. 281 North</t>
  </si>
  <si>
    <t>Edgar Sandoval</t>
  </si>
  <si>
    <t>Green Oaks Apartments</t>
  </si>
  <si>
    <t>1475 Gears Road</t>
  </si>
  <si>
    <t>Retreat West Beaumont</t>
  </si>
  <si>
    <t>Southwest Quadrant of College Street and Wendelin Drive</t>
  </si>
  <si>
    <t>Jefferson</t>
  </si>
  <si>
    <t>Melissa Giacona</t>
  </si>
  <si>
    <t>Tamea Dula</t>
  </si>
  <si>
    <t>Waters Park Studios</t>
  </si>
  <si>
    <t>12207 Waters Park Road (78759)  and 12190 N Mo Pac Expy. (78758)</t>
  </si>
  <si>
    <t>Walter Moreau</t>
  </si>
  <si>
    <t>Sabrina Butler</t>
  </si>
  <si>
    <t>Zinnia Gardens Apartments</t>
  </si>
  <si>
    <t xml:space="preserve">21740 Hand Rd. </t>
  </si>
  <si>
    <t>Combes</t>
  </si>
  <si>
    <t xml:space="preserve">Cameron </t>
  </si>
  <si>
    <t>Sunny K. Philip</t>
  </si>
  <si>
    <t>Alma Martinez</t>
  </si>
  <si>
    <t xml:space="preserve">Sandstone Foothills Apartments </t>
  </si>
  <si>
    <t>402 Brazos drive</t>
  </si>
  <si>
    <t>Mineral Wells</t>
  </si>
  <si>
    <t>Palo Pinto</t>
  </si>
  <si>
    <t>Elderly Preference</t>
  </si>
  <si>
    <t>Tracey Fine</t>
  </si>
  <si>
    <t>Eric Walker</t>
  </si>
  <si>
    <t>Caldwell Heights</t>
  </si>
  <si>
    <t>Tract 2 adjacent to Tract 1 at 362 MLK Drive</t>
  </si>
  <si>
    <t>Burleson</t>
  </si>
  <si>
    <t>Butch Richardson</t>
  </si>
  <si>
    <t>Jeff Beaver</t>
  </si>
  <si>
    <t>Metro 31 Senior Community</t>
  </si>
  <si>
    <t>SEC of Wren Ave and Gallivant Place</t>
  </si>
  <si>
    <t>EL Paso</t>
  </si>
  <si>
    <t>Roy Lopez</t>
  </si>
  <si>
    <t>Ike Monty</t>
  </si>
  <si>
    <t>Emerald Manor</t>
  </si>
  <si>
    <t>NEC of Horizon Blvd and Rifton Court</t>
  </si>
  <si>
    <t>Horizon City</t>
  </si>
  <si>
    <t>Skyway Gardens</t>
  </si>
  <si>
    <t>SEC of S Walker St and Lechugilla</t>
  </si>
  <si>
    <t>Alpine</t>
  </si>
  <si>
    <t>Brewster</t>
  </si>
  <si>
    <t>New Hope Housing Dale Carnegie</t>
  </si>
  <si>
    <t>SEC Dale Carnegie Lane and Regency Square Boulevard</t>
  </si>
  <si>
    <t>Joy Horak-Brown</t>
  </si>
  <si>
    <t>Emily Abeln</t>
  </si>
  <si>
    <t>Lancaster Senior Village</t>
  </si>
  <si>
    <t>NEC Lancaster St &amp; Bellfort St</t>
  </si>
  <si>
    <t>Doak Brown</t>
  </si>
  <si>
    <t>Leslie Holleman</t>
  </si>
  <si>
    <t>San Juan Mission Villas</t>
  </si>
  <si>
    <t>S 9100 blk S Presa Street</t>
  </si>
  <si>
    <t>Jeremy Mears</t>
  </si>
  <si>
    <t>Leslie Holleman (consultant)</t>
  </si>
  <si>
    <t>Longview Pines Apartments</t>
  </si>
  <si>
    <t>NEC Gilmer Rd &amp; Fairmont St</t>
  </si>
  <si>
    <t>Longveiw</t>
  </si>
  <si>
    <t>Gregg</t>
  </si>
  <si>
    <t>Palmview Village</t>
  </si>
  <si>
    <t>100 eastside blk Showers Rd</t>
  </si>
  <si>
    <t>Palmview</t>
  </si>
  <si>
    <t>Hidalgo</t>
  </si>
  <si>
    <t>SilverLeaf at Marshall</t>
  </si>
  <si>
    <t>Approx. 1000 ft into the NWC of the intersection of Victory Dr. and Pumpkin Center Rd.</t>
  </si>
  <si>
    <t>Marshall</t>
  </si>
  <si>
    <t>Harrison</t>
  </si>
  <si>
    <t>Ben Dempsey</t>
  </si>
  <si>
    <t>Mike Sugrue</t>
  </si>
  <si>
    <t>Bamboo Estates Apartments</t>
  </si>
  <si>
    <t>7850 Expressway 77</t>
  </si>
  <si>
    <t>Lyford</t>
  </si>
  <si>
    <t>Willacy</t>
  </si>
  <si>
    <t>Rutherford Park</t>
  </si>
  <si>
    <t>Approximately 12300 block of Tidwell (NWC of Tidwell &amp; C.E. King Pkwy)</t>
  </si>
  <si>
    <t>J. Steve Ford</t>
  </si>
  <si>
    <t>Jeremy Bartholomew</t>
  </si>
  <si>
    <t>Monroe Crossing</t>
  </si>
  <si>
    <t>Northeast corner of Fuqua St and Monroe Blvd (Appr. 8500 block of Fuqua St)</t>
  </si>
  <si>
    <t>William D. Henson</t>
  </si>
  <si>
    <t>Guadalupe Villas</t>
  </si>
  <si>
    <t>9.520 acres near the SWC of 3rd St. and Buddy Holly Ave.</t>
  </si>
  <si>
    <t>Kent R. Hance, Sr.</t>
  </si>
  <si>
    <t>Donna Rickenbacker</t>
  </si>
  <si>
    <t>The Legacy at Buena Vista</t>
  </si>
  <si>
    <t>1409 Buena Vista St.</t>
  </si>
  <si>
    <t>Dan Wilson</t>
  </si>
  <si>
    <t>Liz Wong</t>
  </si>
  <si>
    <t>Pointsettia Gardens at Boca Chica</t>
  </si>
  <si>
    <t xml:space="preserve">341 Oak Street </t>
  </si>
  <si>
    <t>Brownsville</t>
  </si>
  <si>
    <t>Cameron</t>
  </si>
  <si>
    <t>Carla Mancha</t>
  </si>
  <si>
    <t>Miguel Herrera</t>
  </si>
  <si>
    <t>Avanti at Greenwood</t>
  </si>
  <si>
    <t>6102 Greenwood Dr</t>
  </si>
  <si>
    <t>Nueces</t>
  </si>
  <si>
    <t>Henry Flores</t>
  </si>
  <si>
    <t>Toby Williams</t>
  </si>
  <si>
    <t>Avanti at Sienna Palms Legacy</t>
  </si>
  <si>
    <t>+/- 6.5 acres near the NEC of Cardinal Dr. &amp; Mile 6 1/2 W intersection</t>
  </si>
  <si>
    <t>Weslaco ETJ</t>
  </si>
  <si>
    <t>Residences at Stonegate</t>
  </si>
  <si>
    <t>+/- 4.5751 acres on the west side of the 11000 block of Indian Avenue</t>
  </si>
  <si>
    <t>Paul Stell</t>
  </si>
  <si>
    <t>Drew Gray</t>
  </si>
  <si>
    <t>North Alamo Heights</t>
  </si>
  <si>
    <t>10.00 acres near the NEC of E. Sioux Rd. and Retama St.</t>
  </si>
  <si>
    <t>North Alamo CDP/ETJ of San Juan</t>
  </si>
  <si>
    <t>Steve Lollis</t>
  </si>
  <si>
    <t>Ridge Villas</t>
  </si>
  <si>
    <t>9.564 acres near the SWC of S Stewart Rd. and Ridge Rd.</t>
  </si>
  <si>
    <t>San Juan</t>
  </si>
  <si>
    <t>Midway Villas</t>
  </si>
  <si>
    <t>Near NEC of Mile 6 1/2 W. and W. Expy. 83</t>
  </si>
  <si>
    <t>Midway North CDP/Weslaco ETJ</t>
  </si>
  <si>
    <t>Cypress Creek Apartment Homes at Santa Fe</t>
  </si>
  <si>
    <t>Approximately the 4100 Block of FM 1764 Road</t>
  </si>
  <si>
    <t xml:space="preserve"> Santa Fe</t>
  </si>
  <si>
    <t>Galveston</t>
  </si>
  <si>
    <t>Linda Witt</t>
  </si>
  <si>
    <t>Cypress Creek Apartment Homes at Woodedge Park</t>
  </si>
  <si>
    <t>Approximately the 10500 block of FM 1960 West</t>
  </si>
  <si>
    <t>Victoria Winters Spicer</t>
  </si>
  <si>
    <t>Jeffrey Spicer</t>
  </si>
  <si>
    <t>Cypress Creek Apartment Homes at Park South View</t>
  </si>
  <si>
    <t>Approximately 2910 Reed Road</t>
  </si>
  <si>
    <t>Glenn Park Apartments</t>
  </si>
  <si>
    <t>4001 S. Chadbourne</t>
  </si>
  <si>
    <t>Tom Green</t>
  </si>
  <si>
    <t>Vaughn Zimmerman</t>
  </si>
  <si>
    <t>James McDonlad</t>
  </si>
  <si>
    <t>Harvest Park Apartments</t>
  </si>
  <si>
    <t>1100 Block of E. Harvester Avenue</t>
  </si>
  <si>
    <t>Pampa</t>
  </si>
  <si>
    <t>Gray</t>
  </si>
  <si>
    <t>Redwood Apartments</t>
  </si>
  <si>
    <t>NW Corner of W. 12th Street &amp; N. Sycamore Street</t>
  </si>
  <si>
    <t>Fort Stockton</t>
  </si>
  <si>
    <t>Pecos</t>
  </si>
  <si>
    <t>Justin Zimmerman</t>
  </si>
  <si>
    <t>Melissa Forster</t>
  </si>
  <si>
    <t>Las Villas del Rio Hondo</t>
  </si>
  <si>
    <t>310 E Colorado Street</t>
  </si>
  <si>
    <t xml:space="preserve">Rio Hondo </t>
  </si>
  <si>
    <t>Melissa Fisher</t>
  </si>
  <si>
    <t>Memorial Apartments II</t>
  </si>
  <si>
    <t>501 E. Jasmine</t>
  </si>
  <si>
    <t>McAllen</t>
  </si>
  <si>
    <t>Mike Lopez</t>
  </si>
  <si>
    <t>Casitas Palo Alto</t>
  </si>
  <si>
    <t>South East of Sports Park Blvd and Old Alice Road</t>
  </si>
  <si>
    <t>Mark Moseley</t>
  </si>
  <si>
    <t>Chloe Dotson</t>
  </si>
  <si>
    <t>2222 Cleburne</t>
  </si>
  <si>
    <t>Ann J. Robison</t>
  </si>
  <si>
    <t>Stephan Fairfield</t>
  </si>
  <si>
    <t>Lockhart Springs</t>
  </si>
  <si>
    <t>NEC of Hwy 130 and Borchert Loop</t>
  </si>
  <si>
    <t>Todd Erickson</t>
  </si>
  <si>
    <t>Jeff Markey</t>
  </si>
  <si>
    <t>Sweetwater Apartments</t>
  </si>
  <si>
    <t>865 Tx-105</t>
  </si>
  <si>
    <t>Sour Lake</t>
  </si>
  <si>
    <t>Hardin</t>
  </si>
  <si>
    <t>Murray Calhoun</t>
  </si>
  <si>
    <t>Jason Rabalais</t>
  </si>
  <si>
    <t>Sweetbriar Hills Apartments</t>
  </si>
  <si>
    <t>668 W Martin Luther King Blvd.</t>
  </si>
  <si>
    <t>Jasper</t>
  </si>
  <si>
    <t>Groveton Seniors Apartments</t>
  </si>
  <si>
    <t>1110 E. 1st Street</t>
  </si>
  <si>
    <t>Groveton</t>
  </si>
  <si>
    <t>Trinity</t>
  </si>
  <si>
    <t>Somerset Lofts</t>
  </si>
  <si>
    <t>8506 Hempstead Rd.</t>
  </si>
  <si>
    <t>James Rickenbacker</t>
  </si>
  <si>
    <t xml:space="preserve">Pendleton Square </t>
  </si>
  <si>
    <t>NEC of Doctors Memorial &amp; Medical Dr./Vermont Ave.</t>
  </si>
  <si>
    <t>Harlingen</t>
  </si>
  <si>
    <t>Cannon Courts</t>
  </si>
  <si>
    <t>808 East Hall St</t>
  </si>
  <si>
    <t>Bangs</t>
  </si>
  <si>
    <t>Brown</t>
  </si>
  <si>
    <t>Britton Jones</t>
  </si>
  <si>
    <t>Stewart Rutledge</t>
  </si>
  <si>
    <t>Fish Pond at Cuero</t>
  </si>
  <si>
    <t>1219 State Hwy 72 West</t>
  </si>
  <si>
    <t>Cuero</t>
  </si>
  <si>
    <t>DeWitt</t>
  </si>
  <si>
    <t>David Fournier</t>
  </si>
  <si>
    <t>Derek DeHay</t>
  </si>
  <si>
    <t>Fish Pond at Portland</t>
  </si>
  <si>
    <t>SEC of Akins Drive and Moore Avenue (approximately 595’ east)</t>
  </si>
  <si>
    <t>Portland</t>
  </si>
  <si>
    <t>Avenue at Sycamore Park</t>
  </si>
  <si>
    <t>2601 Avenue J</t>
  </si>
  <si>
    <t xml:space="preserve">Fort Worth </t>
  </si>
  <si>
    <t>Saline Creek Senior Village</t>
  </si>
  <si>
    <t>County Road 168 (Saline Creek Rd.) and S. H. 155</t>
  </si>
  <si>
    <t>Noonday</t>
  </si>
  <si>
    <t>Smith</t>
  </si>
  <si>
    <t>Museum Reach Lofts</t>
  </si>
  <si>
    <t>SEC of N St. Mary's St. and W. Jones Ave. (1500 N. St. Mary's St. &amp; 405 W.
Jones Ave.)</t>
  </si>
  <si>
    <t>Jennifer Gonzalez</t>
  </si>
  <si>
    <t>Amy Quintanilla-Soliz</t>
  </si>
  <si>
    <t>Hill Court Villas</t>
  </si>
  <si>
    <t>1111 Hill Court Blvd</t>
  </si>
  <si>
    <t>Pines at Allen Street</t>
  </si>
  <si>
    <t>Northeast Quadrant of Allen St. and Tubb St.</t>
  </si>
  <si>
    <t>Kountze</t>
  </si>
  <si>
    <t>Miranda Sprague</t>
  </si>
  <si>
    <t>Village at Greenwood</t>
  </si>
  <si>
    <t>Approximatly 6018 Greenwood Drive at Greenwood Drive and Frio Street</t>
  </si>
  <si>
    <t>Nueces County</t>
  </si>
  <si>
    <t>Roger Canales</t>
  </si>
  <si>
    <t>Bradford McMurray</t>
  </si>
  <si>
    <t>Village at Roosevelt</t>
  </si>
  <si>
    <t>1507 Roosevelt Avenue</t>
  </si>
  <si>
    <t>Bexar County</t>
  </si>
  <si>
    <t>Silver Spur Apartments</t>
  </si>
  <si>
    <t>East side of Silver Spur Lane just south of Expwy. 83</t>
  </si>
  <si>
    <t>Tim Lang</t>
  </si>
  <si>
    <t>Cliff Snyder</t>
  </si>
  <si>
    <t>The Legacy</t>
  </si>
  <si>
    <t>Silver Spur Lane south of Expressway 83</t>
  </si>
  <si>
    <t>Star of Texas Seniors</t>
  </si>
  <si>
    <t>Lone Star Parkway</t>
  </si>
  <si>
    <t>Montgomery</t>
  </si>
  <si>
    <t>Emanuel H. Glockzin, Jr.</t>
  </si>
  <si>
    <t>Betsy Brown</t>
  </si>
  <si>
    <t>Campanile on Commerce</t>
  </si>
  <si>
    <t xml:space="preserve">2800 Commerce </t>
  </si>
  <si>
    <t>Les Kilday</t>
  </si>
  <si>
    <t>Phyllis Sefeldt</t>
  </si>
  <si>
    <t>The McFarland</t>
  </si>
  <si>
    <t>S side of College Park Dr, E of S Main St</t>
  </si>
  <si>
    <t>Weatherford</t>
  </si>
  <si>
    <t>Parker</t>
  </si>
  <si>
    <t>Seaside Lodge at Chesapeake Bay</t>
  </si>
  <si>
    <t>NE Corner of Elam St and Larabee St</t>
  </si>
  <si>
    <t>Seabrook</t>
  </si>
  <si>
    <t>David Mark Koogler</t>
  </si>
  <si>
    <t>Zach Cavender</t>
  </si>
  <si>
    <t xml:space="preserve">Las Casitas de Azucar                            
</t>
  </si>
  <si>
    <t>20209 FM 506</t>
  </si>
  <si>
    <t>Santa Rosa</t>
  </si>
  <si>
    <t>Talavera Lofts</t>
  </si>
  <si>
    <t>Southeast corner of East 5th and Navasota Streets</t>
  </si>
  <si>
    <t>Scott Street Lofts</t>
  </si>
  <si>
    <t>1320 Scott Street</t>
  </si>
  <si>
    <t>Greens at Mission Bend</t>
  </si>
  <si>
    <t>NWC of Beechnut Street and Lobera Drive</t>
  </si>
  <si>
    <t>Fulton Lofts</t>
  </si>
  <si>
    <t>5200-5500 Fulton Street</t>
  </si>
  <si>
    <t>Travis Flats</t>
  </si>
  <si>
    <t>5325-5335 Airport Boulvard</t>
  </si>
  <si>
    <t>JoEllen Smith</t>
  </si>
  <si>
    <t>Fulton on the Rail</t>
  </si>
  <si>
    <t>5009 Fulton Street</t>
  </si>
  <si>
    <t>The Greenery</t>
  </si>
  <si>
    <t>Approx. 18000 block of Imperial Valley Drive</t>
  </si>
  <si>
    <t>Val DeLeon</t>
  </si>
  <si>
    <t>Fairmont Seniors</t>
  </si>
  <si>
    <t>NWC of Fairmont and Red Bluff</t>
  </si>
  <si>
    <t>Pasadena</t>
  </si>
  <si>
    <t>Nathan Kelley</t>
  </si>
  <si>
    <t>Jela Henderson</t>
  </si>
  <si>
    <t>Westwind of Andrews</t>
  </si>
  <si>
    <t>NW Corner of NE Mustang Drive &amp; Quail Ridge Rd.</t>
  </si>
  <si>
    <t>Andrews</t>
  </si>
  <si>
    <t>Kelly Garrett</t>
  </si>
  <si>
    <t>Mark Mayfield</t>
  </si>
  <si>
    <t>Avenue Commons</t>
  </si>
  <si>
    <t>NWC of SE Ave E and SE Mustang Dr</t>
  </si>
  <si>
    <t>Craig Alter</t>
  </si>
  <si>
    <t>Heritage Seniors</t>
  </si>
  <si>
    <t>325 Flagship Blvd.</t>
  </si>
  <si>
    <t xml:space="preserve">Montgomery </t>
  </si>
  <si>
    <t>Montgomergy</t>
  </si>
  <si>
    <t>Flintlock Apartments</t>
  </si>
  <si>
    <t>SEC W. Little York Rd &amp; Flintlock Rd.</t>
  </si>
  <si>
    <t xml:space="preserve">W. Little York Apartments </t>
  </si>
  <si>
    <t>S/L of W. Little York, west of Hollister Road</t>
  </si>
  <si>
    <t>Capella</t>
  </si>
  <si>
    <t>SWQ of El Dorado Ave and W Lakeside Blvd</t>
  </si>
  <si>
    <t>Brownsville ETJ</t>
  </si>
  <si>
    <t>Manish Verma</t>
  </si>
  <si>
    <t>Janice Degollado</t>
  </si>
  <si>
    <t>The Residences at Canyon Lake</t>
  </si>
  <si>
    <t>1500 Island View</t>
  </si>
  <si>
    <t>Canyon Lake</t>
  </si>
  <si>
    <t>Heritage Tower</t>
  </si>
  <si>
    <t>208 N Green Street</t>
  </si>
  <si>
    <t>Longview</t>
  </si>
  <si>
    <t>Michael Fogel</t>
  </si>
  <si>
    <t>Diboll Pioneer Crossing</t>
  </si>
  <si>
    <t>Approx. SEC of Devereaux and Lumberjack Drive</t>
  </si>
  <si>
    <t>Diboll</t>
  </si>
  <si>
    <t>Angelina</t>
  </si>
  <si>
    <t>Noorallah Jooma</t>
  </si>
  <si>
    <t>Provision at Synott</t>
  </si>
  <si>
    <t>West side of Synott Rd, N of W. Bellfort Blvd.</t>
  </si>
  <si>
    <t>Ruben Esqueda</t>
  </si>
  <si>
    <t>Provision at Lake Houston</t>
  </si>
  <si>
    <t>E Side of Hwy 90 at S. Lake Houston Pkwy.</t>
  </si>
  <si>
    <t>Merritt Manor</t>
  </si>
  <si>
    <t>7.3 Acres at Hill Lane and Gregg Manor Road</t>
  </si>
  <si>
    <t>Manor</t>
  </si>
  <si>
    <t>Colby Denison</t>
  </si>
  <si>
    <t>Joyce McDonald</t>
  </si>
  <si>
    <t>Hickory Trails</t>
  </si>
  <si>
    <t>NEQ of Page Rd and E Loop 281</t>
  </si>
  <si>
    <t>Nevarez Palms</t>
  </si>
  <si>
    <t>Northeast Quadrant of Alameda and Nevarez</t>
  </si>
  <si>
    <t>Huntington at College Station</t>
  </si>
  <si>
    <t>Ovation Senior Living</t>
  </si>
  <si>
    <t>W Lakeside Blvd S of El Dorado Ave</t>
  </si>
  <si>
    <t>Hallsville Estates</t>
  </si>
  <si>
    <t>SWC Cider St &amp; Cal Young Rd</t>
  </si>
  <si>
    <t>Hallsville</t>
  </si>
  <si>
    <t>Adrian Iglesias</t>
  </si>
  <si>
    <t>Chris Applequist</t>
  </si>
  <si>
    <t>The Trails at San Angelo</t>
  </si>
  <si>
    <t>2600 Block of Era St</t>
  </si>
  <si>
    <t>NP Set-Aside</t>
  </si>
  <si>
    <t>2018 Competitive (9%) Housing Tax Credit Program</t>
  </si>
  <si>
    <t>2018 COMPETITIVE (9%) HOUSING TAX CREDIT FUNDING ALLOCATION</t>
  </si>
  <si>
    <t>Regional Allocation</t>
  </si>
  <si>
    <t>JOT Couch</t>
  </si>
  <si>
    <t>I</t>
  </si>
  <si>
    <t/>
  </si>
  <si>
    <t>Total State Credit Ceiling for 2018</t>
  </si>
  <si>
    <t>State Ceiling (population+carryover)</t>
  </si>
  <si>
    <t>PPR</t>
  </si>
  <si>
    <t>ELDERLY FUNDING LIMITS</t>
  </si>
  <si>
    <t>Over/ Under</t>
  </si>
  <si>
    <t>Urban cont</t>
  </si>
  <si>
    <t>11 Urban cont.</t>
  </si>
  <si>
    <t>Elderly</t>
  </si>
  <si>
    <t>Funded @
I=Initial/NP
R=Rural Collapse
SW=Statewide Collapse</t>
  </si>
  <si>
    <t>The Veranda Townhomes</t>
  </si>
  <si>
    <t>Northeast corner of Coit and McDermott Rd</t>
  </si>
  <si>
    <t>Melissa Adami</t>
  </si>
  <si>
    <t>Force Majeure Award-fka 16114</t>
  </si>
  <si>
    <t>Awarded</t>
  </si>
  <si>
    <t>Revised:</t>
  </si>
  <si>
    <t>Merritt Heritage</t>
  </si>
  <si>
    <t>SE Corner of Williams Dr. and Woodlake</t>
  </si>
  <si>
    <t>Georgetown</t>
  </si>
  <si>
    <t>Williamson</t>
  </si>
  <si>
    <t>Merritt Monument</t>
  </si>
  <si>
    <t>Leisure Dr. &amp; Rocky Lane</t>
  </si>
  <si>
    <t>Midland</t>
  </si>
  <si>
    <t>Force Majeure Award-fka 16185</t>
  </si>
  <si>
    <t>Force Majeure Award-fka 16210</t>
  </si>
  <si>
    <t>Mona Amin</t>
  </si>
  <si>
    <t>Figures include Force Majeure awards in Urban subregions 3, 7, and 12.</t>
  </si>
  <si>
    <t xml:space="preserve">The tables indicate the maximum award limits for each State sub-region in accordance with 10 TAC §11.4(b). An Applicant cannot request or be awarded more than the amounts reflected in the column labeled "Max Funding Request/Award Limits," which were established based on estimates as of December 5, 2017.  The tables also indicate the maximum amount of funds that can be awarded to Elderly Developments in certain Urban sub-regions, per 10 TAC §11.4(b).  These limits are fixed and will not change even if the regional funding amounts changes. </t>
  </si>
  <si>
    <t xml:space="preserve">This table reflects the allocation of the Competitive Housing Tax Credit Ceiling that the Department had available for allocation during the 2018 cycle. The ceiling reflects the 2018 population figure of 28,304,596 (IRS Notice 2018-45] multiplied by 2.70 (the 2018 rate) , plus 2017 credits carried forward. Credits returned the calendar year are reflected in the "2018 Calendar Year Returns" column of the chart. 2018 credits remaining after awards is $63,260, and National Pool awarded to Texas is $290,226.  The Department will carry $353,486 in credits over for the 2019 cycle. </t>
  </si>
</sst>
</file>

<file path=xl/styles.xml><?xml version="1.0" encoding="utf-8"?>
<styleSheet xmlns="http://schemas.openxmlformats.org/spreadsheetml/2006/main">
  <numFmts count="12">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quot;$&quot;#,##0.00"/>
    <numFmt numFmtId="167" formatCode="0.000%"/>
    <numFmt numFmtId="168" formatCode="_(&quot;$&quot;* #,##0.000000_);_(&quot;$&quot;* \(#,##0.000000\);_(&quot;$&quot;* &quot;-&quot;??_);_(@_)"/>
    <numFmt numFmtId="169" formatCode="0.0000000%"/>
    <numFmt numFmtId="170" formatCode="_(* #,##0.0000_);_(* \(#,##0.0000\);_(* &quot;-&quot;??_);_(@_)"/>
    <numFmt numFmtId="171" formatCode="&quot;$&quot;#,##0.0"/>
    <numFmt numFmtId="172" formatCode="[$-409]mmmm\ d\,\ yyyy;@"/>
    <numFmt numFmtId="173" formatCode="&quot;$&quot;#,##0"/>
  </numFmts>
  <fonts count="49">
    <font>
      <sz val="11"/>
      <color theme="1"/>
      <name val="Calibri"/>
      <family val="2"/>
      <scheme val="minor"/>
    </font>
    <font>
      <sz val="11"/>
      <color indexed="8"/>
      <name val="Calibri"/>
      <family val="2"/>
    </font>
    <font>
      <sz val="11"/>
      <color indexed="8"/>
      <name val="Calibri"/>
      <family val="2"/>
    </font>
    <font>
      <sz val="10"/>
      <name val="Arial"/>
      <family val="2"/>
    </font>
    <font>
      <sz val="10"/>
      <color indexed="8"/>
      <name val="Arial"/>
      <family val="2"/>
    </font>
    <font>
      <sz val="10"/>
      <name val="Arial"/>
      <family val="2"/>
    </font>
    <font>
      <sz val="10"/>
      <name val="Arial Narrow"/>
      <family val="2"/>
    </font>
    <font>
      <b/>
      <sz val="10"/>
      <name val="Arial Narrow"/>
      <family val="2"/>
    </font>
    <font>
      <b/>
      <sz val="11"/>
      <name val="Franklin Gothic Book"/>
      <family val="2"/>
    </font>
    <font>
      <sz val="9"/>
      <color indexed="8"/>
      <name val="Arial Narrow"/>
      <family val="2"/>
    </font>
    <font>
      <sz val="8"/>
      <name val="Arial Narrow"/>
      <family val="2"/>
    </font>
    <font>
      <b/>
      <sz val="11"/>
      <color indexed="8"/>
      <name val="Cambria"/>
      <family val="1"/>
    </font>
    <font>
      <sz val="11"/>
      <color indexed="8"/>
      <name val="Cambria"/>
      <family val="1"/>
    </font>
    <font>
      <sz val="8"/>
      <name val="Verdana"/>
      <family val="2"/>
    </font>
    <font>
      <sz val="10"/>
      <color indexed="8"/>
      <name val="Calibri"/>
      <family val="2"/>
    </font>
    <font>
      <sz val="10"/>
      <name val="Verdana"/>
      <family val="2"/>
    </font>
    <font>
      <sz val="11"/>
      <color theme="1"/>
      <name val="Calibri"/>
      <family val="2"/>
      <scheme val="minor"/>
    </font>
    <font>
      <b/>
      <sz val="11"/>
      <color theme="1"/>
      <name val="Calibri"/>
      <family val="2"/>
      <scheme val="minor"/>
    </font>
    <font>
      <sz val="9"/>
      <color theme="1"/>
      <name val="Calibri"/>
      <family val="2"/>
      <scheme val="minor"/>
    </font>
    <font>
      <sz val="9"/>
      <name val="Calibri"/>
      <family val="2"/>
      <scheme val="minor"/>
    </font>
    <font>
      <sz val="9"/>
      <color indexed="8"/>
      <name val="Calibri"/>
      <family val="2"/>
      <scheme val="minor"/>
    </font>
    <font>
      <sz val="12"/>
      <color theme="1"/>
      <name val="Calibri"/>
      <family val="2"/>
      <scheme val="minor"/>
    </font>
    <font>
      <b/>
      <sz val="10"/>
      <name val="Calibri"/>
      <family val="2"/>
      <scheme val="minor"/>
    </font>
    <font>
      <sz val="10"/>
      <name val="Calibri"/>
      <family val="2"/>
      <scheme val="minor"/>
    </font>
    <font>
      <sz val="10"/>
      <color theme="1"/>
      <name val="Calibri"/>
      <family val="2"/>
      <scheme val="minor"/>
    </font>
    <font>
      <sz val="16"/>
      <color theme="1"/>
      <name val="Calibri"/>
      <family val="2"/>
      <scheme val="minor"/>
    </font>
    <font>
      <sz val="20"/>
      <color theme="1"/>
      <name val="Calibri"/>
      <family val="2"/>
      <scheme val="minor"/>
    </font>
    <font>
      <b/>
      <sz val="9"/>
      <color indexed="8"/>
      <name val="Calibri"/>
      <family val="2"/>
      <scheme val="minor"/>
    </font>
    <font>
      <b/>
      <i/>
      <sz val="9"/>
      <name val="Calibri"/>
      <family val="2"/>
      <scheme val="minor"/>
    </font>
    <font>
      <sz val="11"/>
      <color theme="1"/>
      <name val="Arial Narrow"/>
      <family val="2"/>
    </font>
    <font>
      <sz val="11"/>
      <color rgb="FF000000"/>
      <name val="Cambria"/>
      <family val="1"/>
      <scheme val="major"/>
    </font>
    <font>
      <b/>
      <sz val="11"/>
      <color rgb="FF000000"/>
      <name val="Cambria"/>
      <family val="1"/>
      <scheme val="major"/>
    </font>
    <font>
      <sz val="11"/>
      <color theme="1"/>
      <name val="Cambria"/>
      <family val="1"/>
      <scheme val="major"/>
    </font>
    <font>
      <b/>
      <sz val="11"/>
      <color theme="1"/>
      <name val="Cambria"/>
      <family val="1"/>
      <scheme val="major"/>
    </font>
    <font>
      <i/>
      <sz val="11"/>
      <color theme="1"/>
      <name val="Cambria"/>
      <family val="1"/>
      <scheme val="major"/>
    </font>
    <font>
      <sz val="11"/>
      <name val="Calibri"/>
      <family val="2"/>
      <scheme val="minor"/>
    </font>
    <font>
      <sz val="10"/>
      <color rgb="FF000000"/>
      <name val="Calibri"/>
      <family val="2"/>
      <scheme val="minor"/>
    </font>
    <font>
      <sz val="11"/>
      <color rgb="FF333333"/>
      <name val="Arial"/>
      <family val="2"/>
    </font>
    <font>
      <sz val="10"/>
      <color indexed="8"/>
      <name val="Calibri"/>
      <family val="2"/>
      <scheme val="minor"/>
    </font>
    <font>
      <sz val="10"/>
      <color theme="1"/>
      <name val="Arial Narrow"/>
      <family val="2"/>
    </font>
    <font>
      <b/>
      <sz val="16"/>
      <color theme="1"/>
      <name val="Calibri"/>
      <family val="2"/>
      <scheme val="minor"/>
    </font>
    <font>
      <sz val="10.5"/>
      <color theme="1"/>
      <name val="Calibri"/>
      <family val="2"/>
      <scheme val="minor"/>
    </font>
    <font>
      <sz val="10"/>
      <color rgb="FF000000"/>
      <name val="Calibri"/>
      <family val="2"/>
    </font>
    <font>
      <sz val="11"/>
      <color rgb="FF000000"/>
      <name val="Calibri"/>
      <family val="2"/>
    </font>
    <font>
      <sz val="8"/>
      <color theme="1"/>
      <name val="Calibri"/>
      <family val="2"/>
      <scheme val="minor"/>
    </font>
    <font>
      <sz val="11"/>
      <color rgb="FF000000"/>
      <name val="Calibri"/>
      <family val="2"/>
      <scheme val="minor"/>
    </font>
    <font>
      <b/>
      <sz val="9"/>
      <color indexed="81"/>
      <name val="Tahoma"/>
      <charset val="1"/>
    </font>
    <font>
      <sz val="11"/>
      <color rgb="FF000000"/>
      <name val="Garamond"/>
      <family val="1"/>
    </font>
    <font>
      <sz val="9"/>
      <color indexed="81"/>
      <name val="Tahoma"/>
      <charset val="1"/>
    </font>
  </fonts>
  <fills count="22">
    <fill>
      <patternFill patternType="none"/>
    </fill>
    <fill>
      <patternFill patternType="gray125"/>
    </fill>
    <fill>
      <patternFill patternType="solid">
        <fgColor indexed="26"/>
        <bgColor indexed="64"/>
      </patternFill>
    </fill>
    <fill>
      <patternFill patternType="solid">
        <fgColor indexed="45"/>
        <bgColor indexed="64"/>
      </patternFill>
    </fill>
    <fill>
      <patternFill patternType="solid">
        <fgColor indexed="47"/>
        <bgColor indexed="64"/>
      </patternFill>
    </fill>
    <fill>
      <patternFill patternType="solid">
        <fgColor indexed="22"/>
        <bgColor indexed="0"/>
      </patternFill>
    </fill>
    <fill>
      <patternFill patternType="solid">
        <fgColor theme="0" tint="-0.14999847407452621"/>
        <bgColor indexed="64"/>
      </patternFill>
    </fill>
    <fill>
      <patternFill patternType="solid">
        <fgColor rgb="FFFFFF00"/>
        <bgColor indexed="64"/>
      </patternFill>
    </fill>
    <fill>
      <patternFill patternType="solid">
        <fgColor rgb="FFFFFF00"/>
        <bgColor indexed="0"/>
      </patternFill>
    </fill>
    <fill>
      <patternFill patternType="solid">
        <fgColor rgb="FFC00000"/>
        <bgColor indexed="64"/>
      </patternFill>
    </fill>
    <fill>
      <patternFill patternType="solid">
        <fgColor theme="0" tint="-0.249977111117893"/>
        <bgColor indexed="64"/>
      </patternFill>
    </fill>
    <fill>
      <patternFill patternType="solid">
        <fgColor theme="0" tint="-0.14999847407452621"/>
        <bgColor indexed="0"/>
      </patternFill>
    </fill>
    <fill>
      <patternFill patternType="solid">
        <fgColor rgb="FFFFFFCC"/>
        <bgColor indexed="64"/>
      </patternFill>
    </fill>
    <fill>
      <patternFill patternType="solid">
        <fgColor theme="0" tint="-0.499984740745262"/>
        <bgColor indexed="64"/>
      </patternFill>
    </fill>
    <fill>
      <patternFill patternType="solid">
        <fgColor theme="0"/>
        <bgColor indexed="64"/>
      </patternFill>
    </fill>
    <fill>
      <patternFill patternType="solid">
        <fgColor theme="2"/>
        <bgColor indexed="64"/>
      </patternFill>
    </fill>
    <fill>
      <patternFill patternType="solid">
        <fgColor rgb="FFFFC000"/>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rgb="FFFF0000"/>
        <bgColor indexed="64"/>
      </patternFill>
    </fill>
    <fill>
      <patternFill patternType="solid">
        <fgColor theme="5"/>
        <bgColor indexed="64"/>
      </patternFill>
    </fill>
    <fill>
      <patternFill patternType="solid">
        <fgColor theme="0" tint="-4.9989318521683403E-2"/>
        <bgColor indexed="64"/>
      </patternFill>
    </fill>
  </fills>
  <borders count="7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double">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double">
        <color indexed="64"/>
      </bottom>
      <diagonal/>
    </border>
    <border>
      <left/>
      <right style="medium">
        <color indexed="64"/>
      </right>
      <top/>
      <bottom style="medium">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medium">
        <color indexed="64"/>
      </right>
      <top style="medium">
        <color indexed="64"/>
      </top>
      <bottom/>
      <diagonal/>
    </border>
    <border>
      <left/>
      <right style="thin">
        <color indexed="64"/>
      </right>
      <top/>
      <bottom/>
      <diagonal/>
    </border>
    <border>
      <left/>
      <right style="thin">
        <color indexed="64"/>
      </right>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8"/>
      </left>
      <right style="thin">
        <color indexed="8"/>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indexed="64"/>
      </left>
      <right style="thin">
        <color indexed="64"/>
      </right>
      <top style="thin">
        <color indexed="64"/>
      </top>
      <bottom/>
      <diagonal/>
    </border>
  </borders>
  <cellStyleXfs count="14">
    <xf numFmtId="0" fontId="0" fillId="0" borderId="0"/>
    <xf numFmtId="43" fontId="16"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4" fontId="16"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0" fontId="3" fillId="0" borderId="0"/>
    <xf numFmtId="0" fontId="5" fillId="0" borderId="0"/>
    <xf numFmtId="0" fontId="4" fillId="0" borderId="0"/>
    <xf numFmtId="0" fontId="4" fillId="0" borderId="0"/>
    <xf numFmtId="9" fontId="16"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cellStyleXfs>
  <cellXfs count="581">
    <xf numFmtId="0" fontId="0" fillId="0" borderId="0" xfId="0"/>
    <xf numFmtId="164" fontId="16" fillId="0" borderId="0" xfId="4" applyNumberFormat="1" applyFont="1"/>
    <xf numFmtId="0" fontId="5" fillId="0" borderId="0" xfId="8"/>
    <xf numFmtId="164" fontId="6" fillId="0" borderId="0" xfId="8" applyNumberFormat="1" applyFont="1"/>
    <xf numFmtId="0" fontId="6" fillId="0" borderId="1" xfId="8" applyFont="1" applyFill="1" applyBorder="1" applyAlignment="1"/>
    <xf numFmtId="0" fontId="7" fillId="6" borderId="2" xfId="8" applyFont="1" applyFill="1" applyBorder="1" applyAlignment="1">
      <alignment horizontal="center" vertical="center" wrapText="1"/>
    </xf>
    <xf numFmtId="10" fontId="5" fillId="0" borderId="0" xfId="11" applyNumberFormat="1" applyFont="1"/>
    <xf numFmtId="10" fontId="6" fillId="0" borderId="2" xfId="11" applyNumberFormat="1" applyFont="1" applyFill="1" applyBorder="1" applyAlignment="1">
      <alignment horizontal="right"/>
    </xf>
    <xf numFmtId="10" fontId="6" fillId="0" borderId="1" xfId="11" applyNumberFormat="1" applyFont="1" applyFill="1" applyBorder="1" applyAlignment="1"/>
    <xf numFmtId="10" fontId="6" fillId="0" borderId="0" xfId="11" applyNumberFormat="1" applyFont="1" applyFill="1" applyBorder="1" applyAlignment="1">
      <alignment horizontal="right"/>
    </xf>
    <xf numFmtId="10" fontId="6" fillId="0" borderId="0" xfId="11" applyNumberFormat="1" applyFont="1"/>
    <xf numFmtId="10" fontId="16" fillId="0" borderId="0" xfId="11" applyNumberFormat="1" applyFont="1"/>
    <xf numFmtId="164" fontId="7" fillId="0" borderId="0" xfId="13" applyNumberFormat="1" applyFont="1" applyBorder="1"/>
    <xf numFmtId="10" fontId="7" fillId="0" borderId="0" xfId="11" applyNumberFormat="1" applyFont="1" applyBorder="1"/>
    <xf numFmtId="0" fontId="18" fillId="7" borderId="0" xfId="0" applyFont="1" applyFill="1" applyAlignment="1">
      <alignment vertical="top"/>
    </xf>
    <xf numFmtId="0" fontId="18" fillId="0" borderId="0" xfId="0" applyFont="1" applyAlignment="1">
      <alignment vertical="top"/>
    </xf>
    <xf numFmtId="164" fontId="18" fillId="0" borderId="0" xfId="4" applyNumberFormat="1" applyFont="1" applyAlignment="1">
      <alignment vertical="top"/>
    </xf>
    <xf numFmtId="0" fontId="19" fillId="0" borderId="0" xfId="7" applyFont="1" applyAlignment="1">
      <alignment vertical="top" wrapText="1"/>
    </xf>
    <xf numFmtId="0" fontId="19" fillId="0" borderId="0" xfId="7" applyFont="1" applyAlignment="1">
      <alignment horizontal="center" vertical="top" wrapText="1"/>
    </xf>
    <xf numFmtId="0" fontId="19" fillId="0" borderId="0" xfId="7" applyFont="1" applyFill="1" applyAlignment="1">
      <alignment horizontal="center" vertical="top" wrapText="1"/>
    </xf>
    <xf numFmtId="0" fontId="19" fillId="0" borderId="0" xfId="7" applyFont="1" applyFill="1" applyBorder="1" applyAlignment="1">
      <alignment vertical="top" wrapText="1"/>
    </xf>
    <xf numFmtId="164" fontId="18" fillId="0" borderId="0" xfId="0" applyNumberFormat="1" applyFont="1" applyAlignment="1">
      <alignment vertical="top"/>
    </xf>
    <xf numFmtId="0" fontId="20" fillId="8" borderId="3" xfId="9" applyFont="1" applyFill="1" applyBorder="1" applyAlignment="1">
      <alignment horizontal="center" vertical="top" wrapText="1"/>
    </xf>
    <xf numFmtId="0" fontId="18" fillId="0" borderId="0" xfId="0" applyFont="1" applyAlignment="1">
      <alignment horizontal="right" vertical="top"/>
    </xf>
    <xf numFmtId="0" fontId="18" fillId="7" borderId="60" xfId="0" applyFont="1" applyFill="1" applyBorder="1" applyAlignment="1">
      <alignment horizontal="center" vertical="top"/>
    </xf>
    <xf numFmtId="9" fontId="18" fillId="0" borderId="0" xfId="11" applyFont="1" applyAlignment="1">
      <alignment horizontal="center" vertical="top"/>
    </xf>
    <xf numFmtId="0" fontId="18" fillId="0" borderId="0" xfId="0" applyFont="1" applyAlignment="1">
      <alignment horizontal="center" vertical="top"/>
    </xf>
    <xf numFmtId="0" fontId="18" fillId="9" borderId="60" xfId="0" applyFont="1" applyFill="1" applyBorder="1" applyAlignment="1">
      <alignment horizontal="center" vertical="top"/>
    </xf>
    <xf numFmtId="49" fontId="18" fillId="9" borderId="60" xfId="0" applyNumberFormat="1" applyFont="1" applyFill="1" applyBorder="1" applyAlignment="1">
      <alignment horizontal="center" vertical="top"/>
    </xf>
    <xf numFmtId="0" fontId="18" fillId="9" borderId="60" xfId="0" applyFont="1" applyFill="1" applyBorder="1" applyAlignment="1">
      <alignment vertical="top"/>
    </xf>
    <xf numFmtId="164" fontId="18" fillId="9" borderId="60" xfId="4" applyNumberFormat="1" applyFont="1" applyFill="1" applyBorder="1" applyAlignment="1">
      <alignment vertical="top"/>
    </xf>
    <xf numFmtId="0" fontId="21" fillId="0" borderId="0" xfId="0" applyFont="1" applyAlignment="1">
      <alignment vertical="top"/>
    </xf>
    <xf numFmtId="0" fontId="21" fillId="7" borderId="0" xfId="0" applyFont="1" applyFill="1" applyAlignment="1">
      <alignment vertical="top"/>
    </xf>
    <xf numFmtId="0" fontId="7" fillId="0" borderId="0" xfId="0" applyFont="1"/>
    <xf numFmtId="0" fontId="6" fillId="0" borderId="0" xfId="0" applyFont="1"/>
    <xf numFmtId="0" fontId="6" fillId="0" borderId="0" xfId="0" applyFont="1" applyFill="1" applyBorder="1"/>
    <xf numFmtId="0" fontId="6" fillId="0" borderId="0" xfId="0" applyFont="1" applyBorder="1"/>
    <xf numFmtId="0" fontId="8" fillId="0" borderId="0" xfId="0" applyFont="1" applyBorder="1" applyAlignment="1">
      <alignment vertical="center"/>
    </xf>
    <xf numFmtId="0" fontId="6" fillId="0" borderId="0" xfId="0" applyFont="1" applyBorder="1" applyAlignment="1">
      <alignment horizontal="center"/>
    </xf>
    <xf numFmtId="0" fontId="6" fillId="0" borderId="0" xfId="0" applyFont="1" applyFill="1" applyBorder="1" applyAlignment="1">
      <alignment horizontal="center"/>
    </xf>
    <xf numFmtId="0" fontId="7" fillId="0" borderId="0" xfId="0" applyFont="1" applyBorder="1" applyAlignment="1">
      <alignment horizontal="center" vertical="center" textRotation="90"/>
    </xf>
    <xf numFmtId="0" fontId="6" fillId="0" borderId="0" xfId="0" applyFont="1" applyAlignment="1">
      <alignment horizontal="center"/>
    </xf>
    <xf numFmtId="164" fontId="6" fillId="0" borderId="0" xfId="0" applyNumberFormat="1" applyFont="1"/>
    <xf numFmtId="0" fontId="7" fillId="0" borderId="0" xfId="0" applyFont="1" applyBorder="1" applyAlignment="1">
      <alignment horizontal="center"/>
    </xf>
    <xf numFmtId="168" fontId="6" fillId="0" borderId="0" xfId="0" applyNumberFormat="1" applyFont="1"/>
    <xf numFmtId="166" fontId="6" fillId="0" borderId="0" xfId="0" applyNumberFormat="1" applyFont="1" applyBorder="1"/>
    <xf numFmtId="1" fontId="10" fillId="0" borderId="2" xfId="1" applyNumberFormat="1" applyFont="1" applyFill="1" applyBorder="1" applyAlignment="1">
      <alignment horizontal="center" vertical="center"/>
    </xf>
    <xf numFmtId="1" fontId="10" fillId="0" borderId="1" xfId="11" applyNumberFormat="1" applyFont="1" applyFill="1" applyBorder="1" applyAlignment="1">
      <alignment horizontal="center" vertical="center"/>
    </xf>
    <xf numFmtId="10" fontId="7" fillId="6" borderId="2" xfId="11" applyNumberFormat="1" applyFont="1" applyFill="1" applyBorder="1" applyAlignment="1">
      <alignment horizontal="center" vertical="center" textRotation="90" wrapText="1"/>
    </xf>
    <xf numFmtId="0" fontId="22" fillId="0" borderId="0" xfId="0" applyFont="1"/>
    <xf numFmtId="0" fontId="23" fillId="0" borderId="0" xfId="0" applyFont="1"/>
    <xf numFmtId="0" fontId="23" fillId="10" borderId="0" xfId="0" applyFont="1" applyFill="1"/>
    <xf numFmtId="0" fontId="23" fillId="0" borderId="0" xfId="0" applyFont="1" applyFill="1"/>
    <xf numFmtId="0" fontId="23" fillId="2" borderId="0" xfId="0" applyFont="1" applyFill="1"/>
    <xf numFmtId="0" fontId="23" fillId="0" borderId="0" xfId="0" applyFont="1" applyBorder="1" applyAlignment="1">
      <alignment horizontal="center" wrapText="1"/>
    </xf>
    <xf numFmtId="0" fontId="23" fillId="0" borderId="1" xfId="0" applyFont="1" applyBorder="1" applyAlignment="1">
      <alignment horizontal="center" wrapText="1"/>
    </xf>
    <xf numFmtId="0" fontId="23" fillId="0" borderId="5" xfId="0" applyFont="1" applyBorder="1" applyAlignment="1">
      <alignment horizontal="center" wrapText="1"/>
    </xf>
    <xf numFmtId="0" fontId="23" fillId="10" borderId="1" xfId="0" applyFont="1" applyFill="1" applyBorder="1" applyAlignment="1">
      <alignment horizontal="center" wrapText="1"/>
    </xf>
    <xf numFmtId="0" fontId="23" fillId="0" borderId="0" xfId="0" applyFont="1" applyFill="1" applyBorder="1"/>
    <xf numFmtId="0" fontId="23" fillId="10" borderId="7" xfId="0" applyFont="1" applyFill="1" applyBorder="1" applyAlignment="1">
      <alignment horizontal="left"/>
    </xf>
    <xf numFmtId="164" fontId="23" fillId="3" borderId="8" xfId="4" applyNumberFormat="1" applyFont="1" applyFill="1" applyBorder="1"/>
    <xf numFmtId="0" fontId="23" fillId="0" borderId="0" xfId="0" applyFont="1" applyBorder="1"/>
    <xf numFmtId="164" fontId="23" fillId="0" borderId="8" xfId="4" applyNumberFormat="1" applyFont="1" applyBorder="1"/>
    <xf numFmtId="0" fontId="23" fillId="10" borderId="10" xfId="0" applyFont="1" applyFill="1" applyBorder="1" applyAlignment="1">
      <alignment horizontal="left"/>
    </xf>
    <xf numFmtId="164" fontId="23" fillId="0" borderId="11" xfId="4" applyNumberFormat="1" applyFont="1" applyBorder="1"/>
    <xf numFmtId="0" fontId="23" fillId="0" borderId="7" xfId="0" applyFont="1" applyBorder="1"/>
    <xf numFmtId="0" fontId="23" fillId="0" borderId="9" xfId="0" applyFont="1" applyBorder="1"/>
    <xf numFmtId="0" fontId="23" fillId="10" borderId="10" xfId="0" applyFont="1" applyFill="1" applyBorder="1"/>
    <xf numFmtId="0" fontId="23" fillId="4" borderId="0" xfId="0" applyFont="1" applyFill="1" applyBorder="1"/>
    <xf numFmtId="0" fontId="23" fillId="10" borderId="0" xfId="0" applyFont="1" applyFill="1" applyBorder="1"/>
    <xf numFmtId="164" fontId="23" fillId="4" borderId="0" xfId="4" applyNumberFormat="1" applyFont="1" applyFill="1" applyBorder="1"/>
    <xf numFmtId="164" fontId="23" fillId="0" borderId="0" xfId="4" applyNumberFormat="1" applyFont="1" applyBorder="1"/>
    <xf numFmtId="0" fontId="23" fillId="0" borderId="10" xfId="0" applyFont="1" applyBorder="1"/>
    <xf numFmtId="0" fontId="23" fillId="0" borderId="12" xfId="0" applyFont="1" applyBorder="1"/>
    <xf numFmtId="164" fontId="23" fillId="0" borderId="10" xfId="4" applyNumberFormat="1" applyFont="1" applyBorder="1"/>
    <xf numFmtId="0" fontId="23" fillId="10" borderId="7" xfId="0" applyFont="1" applyFill="1" applyBorder="1"/>
    <xf numFmtId="164" fontId="23" fillId="0" borderId="7" xfId="4" applyNumberFormat="1" applyFont="1" applyBorder="1"/>
    <xf numFmtId="0" fontId="23" fillId="0" borderId="1" xfId="0" applyFont="1" applyBorder="1"/>
    <xf numFmtId="0" fontId="23" fillId="0" borderId="5" xfId="0" applyFont="1" applyBorder="1"/>
    <xf numFmtId="0" fontId="23" fillId="10" borderId="1" xfId="0" applyFont="1" applyFill="1" applyBorder="1"/>
    <xf numFmtId="164" fontId="23" fillId="0" borderId="1" xfId="4" applyNumberFormat="1" applyFont="1" applyBorder="1"/>
    <xf numFmtId="164" fontId="23" fillId="0" borderId="7" xfId="0" applyNumberFormat="1" applyFont="1" applyBorder="1"/>
    <xf numFmtId="164" fontId="23" fillId="0" borderId="11" xfId="0" applyNumberFormat="1" applyFont="1" applyBorder="1"/>
    <xf numFmtId="0" fontId="8" fillId="0" borderId="0" xfId="0" applyFont="1" applyBorder="1" applyAlignment="1"/>
    <xf numFmtId="169" fontId="6" fillId="0" borderId="0" xfId="11" applyNumberFormat="1" applyFont="1" applyBorder="1"/>
    <xf numFmtId="167" fontId="6" fillId="0" borderId="0" xfId="11" applyNumberFormat="1" applyFont="1" applyBorder="1"/>
    <xf numFmtId="169" fontId="7" fillId="0" borderId="0" xfId="11" applyNumberFormat="1" applyFont="1" applyBorder="1" applyAlignment="1">
      <alignment horizontal="center" wrapText="1"/>
    </xf>
    <xf numFmtId="170" fontId="18" fillId="0" borderId="0" xfId="1" applyNumberFormat="1" applyFont="1" applyAlignment="1">
      <alignment vertical="top"/>
    </xf>
    <xf numFmtId="170" fontId="18" fillId="9" borderId="60" xfId="1" applyNumberFormat="1" applyFont="1" applyFill="1" applyBorder="1" applyAlignment="1">
      <alignment vertical="top"/>
    </xf>
    <xf numFmtId="164" fontId="18" fillId="0" borderId="0" xfId="0" applyNumberFormat="1" applyFont="1" applyAlignment="1">
      <alignment horizontal="center" vertical="top"/>
    </xf>
    <xf numFmtId="1" fontId="0" fillId="0" borderId="0" xfId="0" applyNumberFormat="1"/>
    <xf numFmtId="164" fontId="0" fillId="0" borderId="0" xfId="0" applyNumberFormat="1"/>
    <xf numFmtId="43" fontId="18" fillId="0" borderId="0" xfId="1" applyFont="1" applyAlignment="1">
      <alignment vertical="top"/>
    </xf>
    <xf numFmtId="10" fontId="7" fillId="0" borderId="1" xfId="11" applyNumberFormat="1" applyFont="1" applyBorder="1"/>
    <xf numFmtId="164" fontId="7" fillId="0" borderId="13" xfId="8" applyNumberFormat="1" applyFont="1" applyBorder="1"/>
    <xf numFmtId="10" fontId="6" fillId="0" borderId="14" xfId="11" applyNumberFormat="1" applyFont="1" applyBorder="1"/>
    <xf numFmtId="164" fontId="7" fillId="0" borderId="15" xfId="8" applyNumberFormat="1" applyFont="1" applyBorder="1"/>
    <xf numFmtId="164" fontId="7" fillId="0" borderId="16" xfId="8" applyNumberFormat="1" applyFont="1" applyBorder="1"/>
    <xf numFmtId="164" fontId="7" fillId="0" borderId="17" xfId="8" applyNumberFormat="1" applyFont="1" applyBorder="1"/>
    <xf numFmtId="10" fontId="7" fillId="0" borderId="18" xfId="11" applyNumberFormat="1" applyFont="1" applyBorder="1"/>
    <xf numFmtId="164" fontId="24" fillId="0" borderId="0" xfId="4" applyNumberFormat="1" applyFont="1"/>
    <xf numFmtId="164" fontId="7" fillId="0" borderId="19" xfId="13" applyNumberFormat="1" applyFont="1" applyBorder="1"/>
    <xf numFmtId="10" fontId="7" fillId="0" borderId="20" xfId="11" applyNumberFormat="1" applyFont="1" applyBorder="1"/>
    <xf numFmtId="0" fontId="0" fillId="0" borderId="15" xfId="0" applyBorder="1"/>
    <xf numFmtId="10" fontId="7" fillId="0" borderId="21" xfId="11" applyNumberFormat="1" applyFont="1" applyBorder="1"/>
    <xf numFmtId="10" fontId="7" fillId="0" borderId="22" xfId="11" applyNumberFormat="1" applyFont="1" applyBorder="1"/>
    <xf numFmtId="10" fontId="7" fillId="0" borderId="23" xfId="11" applyNumberFormat="1" applyFont="1" applyBorder="1"/>
    <xf numFmtId="10" fontId="7" fillId="0" borderId="24" xfId="11" applyNumberFormat="1" applyFont="1" applyBorder="1"/>
    <xf numFmtId="0" fontId="25" fillId="0" borderId="0" xfId="0" applyFont="1" applyAlignment="1">
      <alignment vertical="top"/>
    </xf>
    <xf numFmtId="0" fontId="26" fillId="0" borderId="0" xfId="0" applyFont="1" applyAlignment="1">
      <alignment vertical="top"/>
    </xf>
    <xf numFmtId="0" fontId="20" fillId="11" borderId="25" xfId="9" applyFont="1" applyFill="1" applyBorder="1" applyAlignment="1">
      <alignment horizontal="center" vertical="top" wrapText="1"/>
    </xf>
    <xf numFmtId="0" fontId="20" fillId="11" borderId="2" xfId="9" applyFont="1" applyFill="1" applyBorder="1" applyAlignment="1">
      <alignment horizontal="left" vertical="top"/>
    </xf>
    <xf numFmtId="0" fontId="20" fillId="11" borderId="2" xfId="9" applyFont="1" applyFill="1" applyBorder="1" applyAlignment="1">
      <alignment horizontal="center" vertical="top" wrapText="1"/>
    </xf>
    <xf numFmtId="0" fontId="20" fillId="11" borderId="26" xfId="9" applyFont="1" applyFill="1" applyBorder="1" applyAlignment="1">
      <alignment horizontal="center" vertical="top" wrapText="1"/>
    </xf>
    <xf numFmtId="0" fontId="20" fillId="11" borderId="26" xfId="9" applyNumberFormat="1" applyFont="1" applyFill="1" applyBorder="1" applyAlignment="1">
      <alignment horizontal="center" vertical="top" wrapText="1"/>
    </xf>
    <xf numFmtId="0" fontId="18" fillId="0" borderId="1" xfId="0" applyFont="1" applyBorder="1" applyAlignment="1">
      <alignment vertical="top"/>
    </xf>
    <xf numFmtId="0" fontId="18" fillId="13" borderId="61" xfId="0" applyFont="1" applyFill="1" applyBorder="1" applyAlignment="1">
      <alignment vertical="top"/>
    </xf>
    <xf numFmtId="0" fontId="18" fillId="0" borderId="0" xfId="0" applyFont="1" applyFill="1" applyBorder="1" applyAlignment="1">
      <alignment vertical="top"/>
    </xf>
    <xf numFmtId="0" fontId="18" fillId="13" borderId="0" xfId="0" applyFont="1" applyFill="1" applyBorder="1" applyAlignment="1">
      <alignment vertical="top"/>
    </xf>
    <xf numFmtId="164" fontId="18" fillId="0" borderId="0" xfId="0" applyNumberFormat="1" applyFont="1" applyBorder="1" applyAlignment="1">
      <alignment vertical="top"/>
    </xf>
    <xf numFmtId="0" fontId="18" fillId="7" borderId="62" xfId="0" applyFont="1" applyFill="1" applyBorder="1" applyAlignment="1">
      <alignment horizontal="center" vertical="top"/>
    </xf>
    <xf numFmtId="0" fontId="18" fillId="0" borderId="61" xfId="0" applyFont="1" applyBorder="1" applyAlignment="1">
      <alignment horizontal="center" vertical="top"/>
    </xf>
    <xf numFmtId="0" fontId="18" fillId="0" borderId="0" xfId="0" applyFont="1" applyBorder="1" applyAlignment="1">
      <alignment horizontal="center" vertical="top"/>
    </xf>
    <xf numFmtId="0" fontId="18" fillId="0" borderId="61" xfId="0" applyFont="1" applyBorder="1" applyAlignment="1">
      <alignment vertical="top"/>
    </xf>
    <xf numFmtId="164" fontId="18" fillId="0" borderId="61" xfId="4" applyNumberFormat="1" applyFont="1" applyBorder="1" applyAlignment="1">
      <alignment horizontal="center" vertical="top"/>
    </xf>
    <xf numFmtId="0" fontId="18" fillId="0" borderId="0" xfId="0" applyFont="1" applyBorder="1" applyAlignment="1">
      <alignment vertical="top"/>
    </xf>
    <xf numFmtId="164" fontId="18" fillId="0" borderId="0" xfId="4" applyNumberFormat="1" applyFont="1" applyBorder="1" applyAlignment="1">
      <alignment horizontal="center" vertical="top"/>
    </xf>
    <xf numFmtId="164" fontId="18" fillId="0" borderId="0" xfId="4" applyNumberFormat="1" applyFont="1" applyBorder="1" applyAlignment="1">
      <alignment vertical="top"/>
    </xf>
    <xf numFmtId="0" fontId="18" fillId="7" borderId="61" xfId="0" applyFont="1" applyFill="1" applyBorder="1" applyAlignment="1">
      <alignment horizontal="center" vertical="top"/>
    </xf>
    <xf numFmtId="0" fontId="18" fillId="7" borderId="0" xfId="0" applyFont="1" applyFill="1" applyBorder="1" applyAlignment="1">
      <alignment horizontal="center" vertical="top"/>
    </xf>
    <xf numFmtId="10" fontId="7" fillId="0" borderId="27" xfId="11" applyNumberFormat="1" applyFont="1" applyBorder="1"/>
    <xf numFmtId="165" fontId="18" fillId="0" borderId="0" xfId="1" applyNumberFormat="1" applyFont="1" applyAlignment="1">
      <alignment vertical="top"/>
    </xf>
    <xf numFmtId="44" fontId="6" fillId="0" borderId="2" xfId="6" applyNumberFormat="1" applyFont="1" applyFill="1" applyBorder="1" applyAlignment="1">
      <alignment horizontal="right"/>
    </xf>
    <xf numFmtId="44" fontId="6" fillId="0" borderId="1" xfId="8" applyNumberFormat="1" applyFont="1" applyFill="1" applyBorder="1" applyAlignment="1"/>
    <xf numFmtId="44" fontId="6" fillId="0" borderId="2" xfId="6" applyNumberFormat="1" applyFont="1" applyFill="1" applyBorder="1" applyAlignment="1" applyProtection="1">
      <alignment horizontal="right"/>
    </xf>
    <xf numFmtId="44" fontId="6" fillId="0" borderId="0" xfId="6" applyNumberFormat="1" applyFont="1" applyFill="1" applyBorder="1" applyAlignment="1">
      <alignment horizontal="right"/>
    </xf>
    <xf numFmtId="44" fontId="6" fillId="0" borderId="0" xfId="11" applyNumberFormat="1" applyFont="1" applyFill="1" applyBorder="1" applyAlignment="1">
      <alignment horizontal="right"/>
    </xf>
    <xf numFmtId="164" fontId="7" fillId="0" borderId="16" xfId="13" applyNumberFormat="1" applyFont="1" applyBorder="1"/>
    <xf numFmtId="164" fontId="7" fillId="0" borderId="1" xfId="13" applyNumberFormat="1" applyFont="1" applyBorder="1"/>
    <xf numFmtId="164" fontId="7" fillId="0" borderId="14" xfId="13" applyNumberFormat="1" applyFont="1" applyBorder="1"/>
    <xf numFmtId="164" fontId="7" fillId="0" borderId="1" xfId="11" applyNumberFormat="1" applyFont="1" applyBorder="1"/>
    <xf numFmtId="164" fontId="7" fillId="0" borderId="20" xfId="11" applyNumberFormat="1" applyFont="1" applyBorder="1"/>
    <xf numFmtId="164" fontId="7" fillId="0" borderId="18" xfId="11" applyNumberFormat="1" applyFont="1" applyBorder="1"/>
    <xf numFmtId="0" fontId="0" fillId="0" borderId="0" xfId="0" applyFill="1" applyBorder="1" applyAlignment="1">
      <alignment horizontal="center" vertical="top"/>
    </xf>
    <xf numFmtId="0" fontId="6" fillId="0" borderId="0" xfId="0" applyFont="1" applyFill="1" applyBorder="1" applyAlignment="1">
      <alignment horizontal="center" vertical="top"/>
    </xf>
    <xf numFmtId="0" fontId="0" fillId="0" borderId="0" xfId="0" quotePrefix="1" applyFill="1" applyBorder="1" applyAlignment="1">
      <alignment horizontal="center" vertical="top"/>
    </xf>
    <xf numFmtId="0" fontId="0" fillId="0" borderId="0" xfId="0" applyFill="1" applyBorder="1" applyAlignment="1">
      <alignment vertical="top"/>
    </xf>
    <xf numFmtId="0" fontId="6" fillId="0" borderId="0" xfId="0" applyFont="1" applyFill="1" applyBorder="1" applyAlignment="1">
      <alignment vertical="top"/>
    </xf>
    <xf numFmtId="0" fontId="7" fillId="0" borderId="0" xfId="0" applyFont="1" applyFill="1" applyBorder="1" applyAlignment="1">
      <alignment horizontal="center" vertical="top" textRotation="90" wrapText="1"/>
    </xf>
    <xf numFmtId="44" fontId="7" fillId="0" borderId="0" xfId="0" applyNumberFormat="1" applyFont="1" applyFill="1" applyBorder="1" applyAlignment="1">
      <alignment horizontal="center" vertical="top" wrapText="1"/>
    </xf>
    <xf numFmtId="164" fontId="0" fillId="0" borderId="0" xfId="0" applyNumberFormat="1" applyFill="1" applyBorder="1" applyAlignment="1">
      <alignment horizontal="center" vertical="top"/>
    </xf>
    <xf numFmtId="0" fontId="7" fillId="0" borderId="0" xfId="0" applyFont="1" applyFill="1" applyBorder="1" applyAlignment="1">
      <alignment vertical="top" textRotation="90"/>
    </xf>
    <xf numFmtId="0" fontId="9" fillId="0" borderId="0" xfId="0" applyFont="1" applyFill="1" applyBorder="1" applyAlignment="1">
      <alignment vertical="top" wrapText="1"/>
    </xf>
    <xf numFmtId="164" fontId="6" fillId="0" borderId="0" xfId="0" applyNumberFormat="1" applyFont="1" applyFill="1" applyBorder="1" applyAlignment="1">
      <alignment vertical="top"/>
    </xf>
    <xf numFmtId="164" fontId="7" fillId="0" borderId="0" xfId="0" applyNumberFormat="1" applyFont="1" applyFill="1" applyBorder="1" applyAlignment="1">
      <alignment vertical="top"/>
    </xf>
    <xf numFmtId="0" fontId="7" fillId="0" borderId="0" xfId="0" applyFont="1" applyFill="1" applyBorder="1" applyAlignment="1">
      <alignment vertical="top"/>
    </xf>
    <xf numFmtId="0" fontId="18" fillId="0" borderId="0" xfId="0" applyFont="1" applyFill="1" applyAlignment="1">
      <alignment horizontal="center" vertical="top"/>
    </xf>
    <xf numFmtId="0" fontId="19" fillId="0" borderId="0" xfId="7" applyFont="1" applyBorder="1" applyAlignment="1">
      <alignment vertical="top" wrapText="1"/>
    </xf>
    <xf numFmtId="0" fontId="28" fillId="0" borderId="0" xfId="7" applyFont="1" applyFill="1" applyBorder="1" applyAlignment="1">
      <alignment horizontal="center" vertical="top" wrapText="1"/>
    </xf>
    <xf numFmtId="0" fontId="7" fillId="0" borderId="0" xfId="0" applyFont="1" applyFill="1" applyBorder="1" applyAlignment="1">
      <alignment vertical="center" textRotation="90"/>
    </xf>
    <xf numFmtId="0" fontId="0" fillId="0" borderId="0" xfId="0" applyFill="1" applyBorder="1"/>
    <xf numFmtId="164" fontId="18" fillId="0" borderId="0" xfId="4" applyNumberFormat="1" applyFont="1" applyFill="1" applyBorder="1"/>
    <xf numFmtId="0" fontId="18" fillId="0" borderId="0" xfId="0" applyFont="1" applyFill="1" applyBorder="1"/>
    <xf numFmtId="164" fontId="16" fillId="0" borderId="0" xfId="4" applyNumberFormat="1" applyFont="1" applyFill="1" applyBorder="1"/>
    <xf numFmtId="164" fontId="0" fillId="0" borderId="0" xfId="0" applyNumberFormat="1" applyFill="1" applyBorder="1"/>
    <xf numFmtId="165" fontId="16" fillId="0" borderId="0" xfId="1" applyNumberFormat="1" applyFont="1" applyFill="1" applyBorder="1"/>
    <xf numFmtId="0" fontId="6" fillId="0" borderId="0" xfId="0" applyFont="1" applyFill="1" applyBorder="1" applyAlignment="1"/>
    <xf numFmtId="0" fontId="7" fillId="0" borderId="0" xfId="0" applyFont="1" applyFill="1" applyBorder="1" applyAlignment="1">
      <alignment horizontal="center" vertical="center" textRotation="90" wrapText="1"/>
    </xf>
    <xf numFmtId="10" fontId="29" fillId="0" borderId="0" xfId="11" applyNumberFormat="1" applyFont="1" applyBorder="1" applyAlignment="1">
      <alignment horizontal="right"/>
    </xf>
    <xf numFmtId="169" fontId="6" fillId="0" borderId="0" xfId="11" applyNumberFormat="1" applyFont="1" applyFill="1" applyBorder="1"/>
    <xf numFmtId="166" fontId="6" fillId="0" borderId="0" xfId="0" applyNumberFormat="1" applyFont="1" applyFill="1" applyBorder="1"/>
    <xf numFmtId="169" fontId="6" fillId="0" borderId="0" xfId="11" applyNumberFormat="1" applyFont="1" applyFill="1" applyBorder="1" applyAlignment="1">
      <alignment horizontal="center" wrapText="1"/>
    </xf>
    <xf numFmtId="0" fontId="0" fillId="0" borderId="0" xfId="0" applyFont="1" applyFill="1" applyBorder="1"/>
    <xf numFmtId="0" fontId="6" fillId="0" borderId="0" xfId="0" applyFont="1" applyAlignment="1">
      <alignment vertical="top" wrapText="1"/>
    </xf>
    <xf numFmtId="0" fontId="2" fillId="5" borderId="30" xfId="10" applyFont="1" applyFill="1" applyBorder="1" applyAlignment="1">
      <alignment horizontal="center"/>
    </xf>
    <xf numFmtId="164" fontId="2" fillId="5" borderId="30" xfId="4" applyNumberFormat="1" applyFont="1" applyFill="1" applyBorder="1" applyAlignment="1">
      <alignment horizontal="center"/>
    </xf>
    <xf numFmtId="0" fontId="2" fillId="5" borderId="30" xfId="10" applyFont="1" applyFill="1" applyBorder="1" applyAlignment="1">
      <alignment horizontal="right"/>
    </xf>
    <xf numFmtId="10" fontId="16" fillId="10" borderId="0" xfId="11" applyNumberFormat="1" applyFont="1" applyFill="1"/>
    <xf numFmtId="43" fontId="16" fillId="0" borderId="0" xfId="1" applyFont="1"/>
    <xf numFmtId="10" fontId="16" fillId="10" borderId="31" xfId="11" applyNumberFormat="1" applyFont="1" applyFill="1" applyBorder="1"/>
    <xf numFmtId="44" fontId="6" fillId="0" borderId="0" xfId="4" applyFont="1" applyFill="1" applyBorder="1" applyAlignment="1">
      <alignment horizontal="right"/>
    </xf>
    <xf numFmtId="164" fontId="6" fillId="0" borderId="0" xfId="6" applyNumberFormat="1" applyFont="1" applyFill="1" applyBorder="1" applyAlignment="1">
      <alignment horizontal="right"/>
    </xf>
    <xf numFmtId="44" fontId="18" fillId="0" borderId="0" xfId="0" applyNumberFormat="1" applyFont="1" applyAlignment="1">
      <alignment horizontal="center" vertical="top"/>
    </xf>
    <xf numFmtId="43" fontId="6" fillId="0" borderId="0" xfId="1" applyFont="1"/>
    <xf numFmtId="0" fontId="0" fillId="0" borderId="0" xfId="0" applyFill="1"/>
    <xf numFmtId="0" fontId="6" fillId="0" borderId="0" xfId="0" applyFont="1" applyFill="1"/>
    <xf numFmtId="0" fontId="6" fillId="0" borderId="0" xfId="0" applyFont="1" applyFill="1" applyAlignment="1">
      <alignment horizontal="center"/>
    </xf>
    <xf numFmtId="0" fontId="30" fillId="14" borderId="32" xfId="0" applyFont="1" applyFill="1" applyBorder="1" applyAlignment="1">
      <alignment horizontal="center" vertical="center" textRotation="90" wrapText="1"/>
    </xf>
    <xf numFmtId="0" fontId="30" fillId="14" borderId="33" xfId="0" applyFont="1" applyFill="1" applyBorder="1" applyAlignment="1">
      <alignment horizontal="center" vertical="center" wrapText="1"/>
    </xf>
    <xf numFmtId="0" fontId="32" fillId="14" borderId="0" xfId="0" applyFont="1" applyFill="1" applyAlignment="1">
      <alignment vertical="center" wrapText="1"/>
    </xf>
    <xf numFmtId="0" fontId="31" fillId="15" borderId="34" xfId="0" applyFont="1" applyFill="1" applyBorder="1" applyAlignment="1">
      <alignment horizontal="center" vertical="center" wrapText="1"/>
    </xf>
    <xf numFmtId="0" fontId="32" fillId="14" borderId="35" xfId="0" applyFont="1" applyFill="1" applyBorder="1" applyAlignment="1">
      <alignment horizontal="center" vertical="center" wrapText="1"/>
    </xf>
    <xf numFmtId="49" fontId="32" fillId="14" borderId="31" xfId="0" applyNumberFormat="1" applyFont="1" applyFill="1" applyBorder="1" applyAlignment="1">
      <alignment horizontal="left" vertical="center" wrapText="1"/>
    </xf>
    <xf numFmtId="164" fontId="32" fillId="14" borderId="31" xfId="0" applyNumberFormat="1" applyFont="1" applyFill="1" applyBorder="1"/>
    <xf numFmtId="164" fontId="32" fillId="14" borderId="31" xfId="4" applyNumberFormat="1" applyFont="1" applyFill="1" applyBorder="1"/>
    <xf numFmtId="0" fontId="32" fillId="14" borderId="0" xfId="0" applyFont="1" applyFill="1"/>
    <xf numFmtId="0" fontId="32" fillId="14" borderId="36" xfId="0" applyFont="1" applyFill="1" applyBorder="1" applyAlignment="1">
      <alignment horizontal="center" vertical="center" wrapText="1"/>
    </xf>
    <xf numFmtId="49" fontId="32" fillId="14" borderId="2" xfId="0" applyNumberFormat="1" applyFont="1" applyFill="1" applyBorder="1" applyAlignment="1">
      <alignment horizontal="left" vertical="center" wrapText="1"/>
    </xf>
    <xf numFmtId="164" fontId="32" fillId="14" borderId="2" xfId="0" applyNumberFormat="1" applyFont="1" applyFill="1" applyBorder="1"/>
    <xf numFmtId="10" fontId="32" fillId="14" borderId="37" xfId="11" applyNumberFormat="1" applyFont="1" applyFill="1" applyBorder="1"/>
    <xf numFmtId="44" fontId="32" fillId="14" borderId="0" xfId="0" applyNumberFormat="1" applyFont="1" applyFill="1"/>
    <xf numFmtId="0" fontId="32" fillId="14" borderId="39" xfId="0" applyFont="1" applyFill="1" applyBorder="1" applyAlignment="1">
      <alignment horizontal="center" vertical="center" wrapText="1"/>
    </xf>
    <xf numFmtId="49" fontId="32" fillId="14" borderId="40" xfId="0" applyNumberFormat="1" applyFont="1" applyFill="1" applyBorder="1" applyAlignment="1">
      <alignment horizontal="left" vertical="center" wrapText="1"/>
    </xf>
    <xf numFmtId="164" fontId="32" fillId="14" borderId="40" xfId="0" applyNumberFormat="1" applyFont="1" applyFill="1" applyBorder="1"/>
    <xf numFmtId="9" fontId="32" fillId="14" borderId="40" xfId="11" applyFont="1" applyFill="1" applyBorder="1"/>
    <xf numFmtId="10" fontId="32" fillId="14" borderId="41" xfId="11" applyNumberFormat="1" applyFont="1" applyFill="1" applyBorder="1"/>
    <xf numFmtId="0" fontId="32" fillId="14" borderId="0" xfId="0" applyFont="1" applyFill="1" applyBorder="1" applyAlignment="1">
      <alignment horizontal="center" vertical="center" wrapText="1"/>
    </xf>
    <xf numFmtId="49" fontId="32" fillId="14" borderId="0" xfId="0" applyNumberFormat="1" applyFont="1" applyFill="1" applyBorder="1" applyAlignment="1">
      <alignment horizontal="left" vertical="center" wrapText="1"/>
    </xf>
    <xf numFmtId="164" fontId="32" fillId="14" borderId="0" xfId="0" applyNumberFormat="1" applyFont="1" applyFill="1" applyBorder="1"/>
    <xf numFmtId="9" fontId="32" fillId="14" borderId="0" xfId="11" applyFont="1" applyFill="1" applyBorder="1"/>
    <xf numFmtId="164" fontId="32" fillId="14" borderId="0" xfId="4" applyNumberFormat="1" applyFont="1" applyFill="1" applyBorder="1"/>
    <xf numFmtId="10" fontId="32" fillId="14" borderId="0" xfId="11" applyNumberFormat="1" applyFont="1" applyFill="1" applyBorder="1"/>
    <xf numFmtId="0" fontId="32" fillId="14" borderId="43" xfId="0" applyFont="1" applyFill="1" applyBorder="1" applyAlignment="1">
      <alignment horizontal="center" vertical="center" wrapText="1"/>
    </xf>
    <xf numFmtId="49" fontId="32" fillId="14" borderId="44" xfId="0" applyNumberFormat="1" applyFont="1" applyFill="1" applyBorder="1" applyAlignment="1">
      <alignment horizontal="left" vertical="center" wrapText="1"/>
    </xf>
    <xf numFmtId="164" fontId="32" fillId="14" borderId="44" xfId="0" applyNumberFormat="1" applyFont="1" applyFill="1" applyBorder="1"/>
    <xf numFmtId="9" fontId="32" fillId="14" borderId="44" xfId="11" applyFont="1" applyFill="1" applyBorder="1"/>
    <xf numFmtId="164" fontId="32" fillId="14" borderId="44" xfId="4" applyNumberFormat="1" applyFont="1" applyFill="1" applyBorder="1"/>
    <xf numFmtId="10" fontId="32" fillId="14" borderId="45" xfId="11" applyNumberFormat="1" applyFont="1" applyFill="1" applyBorder="1"/>
    <xf numFmtId="164" fontId="32" fillId="14" borderId="0" xfId="0" applyNumberFormat="1" applyFont="1" applyFill="1"/>
    <xf numFmtId="164" fontId="33" fillId="14" borderId="0" xfId="0" applyNumberFormat="1" applyFont="1" applyFill="1"/>
    <xf numFmtId="0" fontId="32" fillId="14" borderId="43" xfId="0" applyFont="1" applyFill="1" applyBorder="1" applyAlignment="1">
      <alignment horizontal="left" vertical="center" wrapText="1"/>
    </xf>
    <xf numFmtId="0" fontId="32" fillId="14" borderId="39" xfId="0" applyFont="1" applyFill="1" applyBorder="1" applyAlignment="1">
      <alignment horizontal="left" vertical="center" wrapText="1"/>
    </xf>
    <xf numFmtId="0" fontId="32" fillId="14" borderId="0" xfId="0" applyFont="1" applyFill="1" applyBorder="1" applyAlignment="1">
      <alignment horizontal="left" vertical="center" wrapText="1"/>
    </xf>
    <xf numFmtId="44" fontId="32" fillId="14" borderId="0" xfId="4" applyNumberFormat="1" applyFont="1" applyFill="1" applyBorder="1"/>
    <xf numFmtId="164" fontId="32" fillId="14" borderId="47" xfId="11" applyNumberFormat="1" applyFont="1" applyFill="1" applyBorder="1"/>
    <xf numFmtId="44" fontId="32" fillId="14" borderId="48" xfId="11" applyNumberFormat="1" applyFont="1" applyFill="1" applyBorder="1"/>
    <xf numFmtId="0" fontId="32" fillId="14" borderId="36" xfId="0" applyFont="1" applyFill="1" applyBorder="1" applyAlignment="1">
      <alignment horizontal="left" vertical="center" wrapText="1"/>
    </xf>
    <xf numFmtId="164" fontId="32" fillId="14" borderId="8" xfId="0" applyNumberFormat="1" applyFont="1" applyFill="1" applyBorder="1"/>
    <xf numFmtId="164" fontId="32" fillId="14" borderId="7" xfId="0" applyNumberFormat="1" applyFont="1" applyFill="1" applyBorder="1"/>
    <xf numFmtId="164" fontId="32" fillId="14" borderId="7" xfId="11" applyNumberFormat="1" applyFont="1" applyFill="1" applyBorder="1"/>
    <xf numFmtId="44" fontId="32" fillId="14" borderId="9" xfId="11" applyNumberFormat="1" applyFont="1" applyFill="1" applyBorder="1"/>
    <xf numFmtId="0" fontId="32" fillId="14" borderId="0" xfId="0" applyFont="1" applyFill="1" applyBorder="1" applyAlignment="1">
      <alignment horizontal="center"/>
    </xf>
    <xf numFmtId="0" fontId="34" fillId="6" borderId="36" xfId="0" applyFont="1" applyFill="1" applyBorder="1" applyAlignment="1">
      <alignment horizontal="center" vertical="center" wrapText="1"/>
    </xf>
    <xf numFmtId="164" fontId="34" fillId="6" borderId="2" xfId="0" applyNumberFormat="1" applyFont="1" applyFill="1" applyBorder="1"/>
    <xf numFmtId="164" fontId="34" fillId="6" borderId="8" xfId="0" applyNumberFormat="1" applyFont="1" applyFill="1" applyBorder="1"/>
    <xf numFmtId="164" fontId="34" fillId="6" borderId="7" xfId="0" applyNumberFormat="1" applyFont="1" applyFill="1" applyBorder="1"/>
    <xf numFmtId="164" fontId="34" fillId="6" borderId="7" xfId="11" applyNumberFormat="1" applyFont="1" applyFill="1" applyBorder="1"/>
    <xf numFmtId="44" fontId="34" fillId="6" borderId="9" xfId="11" applyNumberFormat="1" applyFont="1" applyFill="1" applyBorder="1"/>
    <xf numFmtId="10" fontId="34" fillId="6" borderId="37" xfId="11" applyNumberFormat="1" applyFont="1" applyFill="1" applyBorder="1"/>
    <xf numFmtId="164" fontId="32" fillId="14" borderId="49" xfId="0" applyNumberFormat="1" applyFont="1" applyFill="1" applyBorder="1"/>
    <xf numFmtId="164" fontId="32" fillId="14" borderId="50" xfId="0" applyNumberFormat="1" applyFont="1" applyFill="1" applyBorder="1"/>
    <xf numFmtId="164" fontId="32" fillId="14" borderId="50" xfId="11" applyNumberFormat="1" applyFont="1" applyFill="1" applyBorder="1"/>
    <xf numFmtId="44" fontId="32" fillId="14" borderId="51" xfId="11" applyNumberFormat="1" applyFont="1" applyFill="1" applyBorder="1"/>
    <xf numFmtId="9" fontId="18" fillId="16" borderId="0" xfId="11" applyFont="1" applyFill="1" applyAlignment="1">
      <alignment vertical="top"/>
    </xf>
    <xf numFmtId="9" fontId="18" fillId="16" borderId="60" xfId="11" applyFont="1" applyFill="1" applyBorder="1" applyAlignment="1">
      <alignment vertical="top"/>
    </xf>
    <xf numFmtId="9" fontId="18" fillId="16" borderId="61" xfId="11" applyFont="1" applyFill="1" applyBorder="1" applyAlignment="1">
      <alignment vertical="top"/>
    </xf>
    <xf numFmtId="9" fontId="18" fillId="16" borderId="0" xfId="11" applyFont="1" applyFill="1" applyBorder="1" applyAlignment="1">
      <alignment vertical="top"/>
    </xf>
    <xf numFmtId="164" fontId="32" fillId="12" borderId="2" xfId="0" applyNumberFormat="1" applyFont="1" applyFill="1" applyBorder="1"/>
    <xf numFmtId="164" fontId="32" fillId="12" borderId="40" xfId="0" applyNumberFormat="1" applyFont="1" applyFill="1" applyBorder="1"/>
    <xf numFmtId="164" fontId="32" fillId="12" borderId="44" xfId="0" applyNumberFormat="1" applyFont="1" applyFill="1" applyBorder="1"/>
    <xf numFmtId="164" fontId="32" fillId="14" borderId="52" xfId="0" applyNumberFormat="1" applyFont="1" applyFill="1" applyBorder="1"/>
    <xf numFmtId="164" fontId="32" fillId="14" borderId="52" xfId="4" applyNumberFormat="1" applyFont="1" applyFill="1" applyBorder="1"/>
    <xf numFmtId="0" fontId="35" fillId="0" borderId="0" xfId="0" applyFont="1"/>
    <xf numFmtId="0" fontId="18" fillId="0" borderId="61" xfId="0" applyNumberFormat="1" applyFont="1" applyBorder="1" applyAlignment="1">
      <alignment horizontal="center" vertical="top"/>
    </xf>
    <xf numFmtId="0" fontId="24" fillId="0" borderId="0" xfId="0" applyFont="1"/>
    <xf numFmtId="0" fontId="18" fillId="0" borderId="0" xfId="0" applyNumberFormat="1" applyFont="1" applyBorder="1" applyAlignment="1">
      <alignment horizontal="center" vertical="top"/>
    </xf>
    <xf numFmtId="9" fontId="18" fillId="0" borderId="0" xfId="0" applyNumberFormat="1" applyFont="1" applyAlignment="1">
      <alignment horizontal="center" vertical="top"/>
    </xf>
    <xf numFmtId="0" fontId="18" fillId="0" borderId="60" xfId="0" applyFont="1" applyFill="1" applyBorder="1" applyAlignment="1">
      <alignment horizontal="center" vertical="top"/>
    </xf>
    <xf numFmtId="0" fontId="18" fillId="0" borderId="62" xfId="0" applyFont="1" applyFill="1" applyBorder="1" applyAlignment="1">
      <alignment horizontal="center" vertical="top"/>
    </xf>
    <xf numFmtId="0" fontId="18" fillId="0" borderId="0" xfId="0" applyFont="1" applyFill="1" applyAlignment="1">
      <alignment vertical="top"/>
    </xf>
    <xf numFmtId="164" fontId="18" fillId="0" borderId="0" xfId="4" applyNumberFormat="1" applyFont="1" applyFill="1" applyAlignment="1">
      <alignment horizontal="center" vertical="top"/>
    </xf>
    <xf numFmtId="165" fontId="18" fillId="0" borderId="0" xfId="1" applyNumberFormat="1" applyFont="1" applyFill="1" applyAlignment="1">
      <alignment vertical="top"/>
    </xf>
    <xf numFmtId="0" fontId="18" fillId="0" borderId="0" xfId="4" applyNumberFormat="1" applyFont="1" applyFill="1" applyBorder="1" applyAlignment="1">
      <alignment horizontal="center" vertical="top"/>
    </xf>
    <xf numFmtId="10" fontId="18" fillId="0" borderId="0" xfId="11" applyNumberFormat="1" applyFont="1" applyAlignment="1">
      <alignment vertical="top"/>
    </xf>
    <xf numFmtId="164" fontId="19" fillId="0" borderId="0" xfId="7" applyNumberFormat="1" applyFont="1" applyAlignment="1">
      <alignment horizontal="center" vertical="top" wrapText="1"/>
    </xf>
    <xf numFmtId="14" fontId="0" fillId="0" borderId="0" xfId="0" applyNumberFormat="1"/>
    <xf numFmtId="2" fontId="0" fillId="0" borderId="0" xfId="0" applyNumberFormat="1" applyAlignment="1">
      <alignment horizontal="left"/>
    </xf>
    <xf numFmtId="14" fontId="18" fillId="0" borderId="0" xfId="0" applyNumberFormat="1" applyFont="1" applyFill="1" applyBorder="1" applyAlignment="1">
      <alignment horizontal="right" vertical="top"/>
    </xf>
    <xf numFmtId="44" fontId="18" fillId="0" borderId="0" xfId="0" applyNumberFormat="1" applyFont="1" applyAlignment="1">
      <alignment vertical="top"/>
    </xf>
    <xf numFmtId="164" fontId="18" fillId="0" borderId="0" xfId="0" applyNumberFormat="1" applyFont="1" applyFill="1" applyAlignment="1">
      <alignment horizontal="center" vertical="top"/>
    </xf>
    <xf numFmtId="0" fontId="19" fillId="0" borderId="0" xfId="7" applyFont="1" applyFill="1" applyAlignment="1">
      <alignment vertical="top" wrapText="1"/>
    </xf>
    <xf numFmtId="0" fontId="0" fillId="0" borderId="0" xfId="0" applyFill="1" applyBorder="1" applyAlignment="1">
      <alignment horizontal="left" vertical="top"/>
    </xf>
    <xf numFmtId="0" fontId="18" fillId="0" borderId="0" xfId="0" applyFont="1" applyFill="1" applyAlignment="1">
      <alignment horizontal="right" vertical="top"/>
    </xf>
    <xf numFmtId="0" fontId="18" fillId="0" borderId="61" xfId="0" applyNumberFormat="1" applyFont="1" applyFill="1" applyBorder="1" applyAlignment="1">
      <alignment horizontal="center" vertical="top"/>
    </xf>
    <xf numFmtId="164" fontId="16" fillId="0" borderId="0" xfId="4" applyNumberFormat="1" applyFont="1"/>
    <xf numFmtId="0" fontId="18" fillId="0" borderId="0" xfId="0" applyFont="1" applyAlignment="1">
      <alignment vertical="top" textRotation="90"/>
    </xf>
    <xf numFmtId="0" fontId="18" fillId="0" borderId="0" xfId="0" applyFont="1" applyAlignment="1">
      <alignment textRotation="90"/>
    </xf>
    <xf numFmtId="0" fontId="0" fillId="0" borderId="2" xfId="0" applyBorder="1"/>
    <xf numFmtId="164" fontId="6" fillId="0" borderId="0" xfId="0" applyNumberFormat="1" applyFont="1" applyFill="1"/>
    <xf numFmtId="0" fontId="20" fillId="11" borderId="2" xfId="9" applyFont="1" applyFill="1" applyBorder="1" applyAlignment="1">
      <alignment horizontal="center" vertical="top" textRotation="90" wrapText="1"/>
    </xf>
    <xf numFmtId="0" fontId="18" fillId="0" borderId="0" xfId="0" applyFont="1" applyAlignment="1">
      <alignment horizontal="center" vertical="top"/>
    </xf>
    <xf numFmtId="0" fontId="18" fillId="0" borderId="0" xfId="0" applyFont="1" applyAlignment="1">
      <alignment horizontal="center" vertical="top"/>
    </xf>
    <xf numFmtId="0" fontId="18" fillId="0" borderId="0" xfId="0" applyFont="1" applyAlignment="1">
      <alignment horizontal="left" vertical="top"/>
    </xf>
    <xf numFmtId="0" fontId="18" fillId="0" borderId="0" xfId="0" applyFont="1" applyAlignment="1">
      <alignment horizontal="center" vertical="top"/>
    </xf>
    <xf numFmtId="0" fontId="18" fillId="9" borderId="61" xfId="0" applyFont="1" applyFill="1" applyBorder="1" applyAlignment="1">
      <alignment vertical="top"/>
    </xf>
    <xf numFmtId="170" fontId="18" fillId="9" borderId="0" xfId="1" applyNumberFormat="1" applyFont="1" applyFill="1" applyBorder="1" applyAlignment="1">
      <alignment vertical="top"/>
    </xf>
    <xf numFmtId="164" fontId="18" fillId="9" borderId="61" xfId="4" applyNumberFormat="1" applyFont="1" applyFill="1" applyBorder="1" applyAlignment="1">
      <alignment vertical="top"/>
    </xf>
    <xf numFmtId="0" fontId="18" fillId="9" borderId="0" xfId="0" applyFont="1" applyFill="1" applyBorder="1" applyAlignment="1">
      <alignment vertical="top"/>
    </xf>
    <xf numFmtId="0" fontId="18" fillId="9" borderId="61" xfId="0" applyFont="1" applyFill="1" applyBorder="1" applyAlignment="1">
      <alignment horizontal="center" vertical="top"/>
    </xf>
    <xf numFmtId="49" fontId="18" fillId="9" borderId="0" xfId="0" applyNumberFormat="1" applyFont="1" applyFill="1" applyBorder="1" applyAlignment="1">
      <alignment horizontal="center" vertical="top"/>
    </xf>
    <xf numFmtId="164" fontId="16" fillId="0" borderId="2" xfId="4" applyNumberFormat="1" applyFont="1" applyBorder="1"/>
    <xf numFmtId="10" fontId="32" fillId="14" borderId="44" xfId="11" applyNumberFormat="1" applyFont="1" applyFill="1" applyBorder="1"/>
    <xf numFmtId="10" fontId="32" fillId="14" borderId="31" xfId="11" applyNumberFormat="1" applyFont="1" applyFill="1" applyBorder="1"/>
    <xf numFmtId="10" fontId="32" fillId="14" borderId="52" xfId="11" applyNumberFormat="1" applyFont="1" applyFill="1" applyBorder="1"/>
    <xf numFmtId="164" fontId="32" fillId="14" borderId="40" xfId="4" applyNumberFormat="1" applyFont="1" applyFill="1" applyBorder="1"/>
    <xf numFmtId="0" fontId="30" fillId="14" borderId="53" xfId="0" applyFont="1" applyFill="1" applyBorder="1" applyAlignment="1">
      <alignment horizontal="center" vertical="center" wrapText="1"/>
    </xf>
    <xf numFmtId="10" fontId="32" fillId="14" borderId="2" xfId="11" applyNumberFormat="1" applyFont="1" applyFill="1" applyBorder="1"/>
    <xf numFmtId="9" fontId="18" fillId="0" borderId="0" xfId="11" applyFont="1" applyFill="1" applyAlignment="1">
      <alignment vertical="top"/>
    </xf>
    <xf numFmtId="9" fontId="18" fillId="0" borderId="1" xfId="11" applyFont="1" applyFill="1" applyBorder="1" applyAlignment="1">
      <alignment vertical="top"/>
    </xf>
    <xf numFmtId="9" fontId="20" fillId="16" borderId="3" xfId="11" applyFont="1" applyFill="1" applyBorder="1" applyAlignment="1">
      <alignment horizontal="center" vertical="top" wrapText="1"/>
    </xf>
    <xf numFmtId="164" fontId="33" fillId="0" borderId="0" xfId="0" applyNumberFormat="1" applyFont="1" applyFill="1" applyBorder="1"/>
    <xf numFmtId="0" fontId="17" fillId="15" borderId="54" xfId="0" applyFont="1" applyFill="1" applyBorder="1" applyAlignment="1">
      <alignment horizontal="center" vertical="center" wrapText="1"/>
    </xf>
    <xf numFmtId="10" fontId="17" fillId="15" borderId="43" xfId="4" applyNumberFormat="1" applyFont="1" applyFill="1" applyBorder="1" applyAlignment="1">
      <alignment horizontal="right"/>
    </xf>
    <xf numFmtId="10" fontId="17" fillId="15" borderId="45" xfId="4" applyNumberFormat="1" applyFont="1" applyFill="1" applyBorder="1" applyAlignment="1">
      <alignment horizontal="right"/>
    </xf>
    <xf numFmtId="10" fontId="17" fillId="15" borderId="36" xfId="4" applyNumberFormat="1" applyFont="1" applyFill="1" applyBorder="1" applyAlignment="1">
      <alignment horizontal="right"/>
    </xf>
    <xf numFmtId="10" fontId="17" fillId="15" borderId="37" xfId="4" applyNumberFormat="1" applyFont="1" applyFill="1" applyBorder="1" applyAlignment="1">
      <alignment horizontal="right"/>
    </xf>
    <xf numFmtId="164" fontId="17" fillId="15" borderId="37" xfId="4" applyNumberFormat="1" applyFont="1" applyFill="1" applyBorder="1" applyAlignment="1">
      <alignment horizontal="right"/>
    </xf>
    <xf numFmtId="10" fontId="17" fillId="15" borderId="39" xfId="4" applyNumberFormat="1" applyFont="1" applyFill="1" applyBorder="1" applyAlignment="1">
      <alignment horizontal="right"/>
    </xf>
    <xf numFmtId="10" fontId="17" fillId="15" borderId="41" xfId="4" applyNumberFormat="1" applyFont="1" applyFill="1" applyBorder="1" applyAlignment="1">
      <alignment horizontal="right"/>
    </xf>
    <xf numFmtId="0" fontId="17" fillId="14" borderId="0" xfId="0" applyFont="1" applyFill="1" applyBorder="1" applyAlignment="1">
      <alignment horizontal="left" vertical="top" wrapText="1"/>
    </xf>
    <xf numFmtId="0" fontId="0" fillId="14" borderId="0" xfId="0" applyFill="1" applyAlignment="1">
      <alignment horizontal="center"/>
    </xf>
    <xf numFmtId="0" fontId="0" fillId="14" borderId="0" xfId="0" applyFill="1" applyBorder="1" applyAlignment="1">
      <alignment horizontal="center" vertical="center" wrapText="1"/>
    </xf>
    <xf numFmtId="164" fontId="0" fillId="14" borderId="0" xfId="0" applyNumberFormat="1" applyFill="1" applyBorder="1"/>
    <xf numFmtId="164" fontId="16" fillId="14" borderId="0" xfId="11" applyNumberFormat="1" applyFont="1" applyFill="1" applyBorder="1"/>
    <xf numFmtId="10" fontId="16" fillId="14" borderId="0" xfId="11" applyNumberFormat="1" applyFont="1" applyFill="1" applyBorder="1"/>
    <xf numFmtId="164" fontId="16" fillId="0" borderId="0" xfId="4" applyNumberFormat="1" applyFont="1"/>
    <xf numFmtId="3" fontId="0" fillId="0" borderId="0" xfId="0" applyNumberFormat="1"/>
    <xf numFmtId="3" fontId="0" fillId="0" borderId="2" xfId="0" applyNumberFormat="1" applyBorder="1"/>
    <xf numFmtId="0" fontId="18" fillId="0" borderId="0" xfId="0" applyFont="1" applyAlignment="1">
      <alignment horizontal="center" vertical="top"/>
    </xf>
    <xf numFmtId="171" fontId="6" fillId="0" borderId="0" xfId="11" applyNumberFormat="1" applyFont="1" applyBorder="1"/>
    <xf numFmtId="0" fontId="18" fillId="0" borderId="0" xfId="0" applyFont="1" applyAlignment="1">
      <alignment horizontal="center" vertical="top"/>
    </xf>
    <xf numFmtId="3" fontId="37" fillId="0" borderId="0" xfId="0" applyNumberFormat="1" applyFont="1"/>
    <xf numFmtId="0" fontId="14" fillId="0" borderId="0" xfId="0" applyFont="1"/>
    <xf numFmtId="0" fontId="36" fillId="0" borderId="0" xfId="0" applyFont="1"/>
    <xf numFmtId="0" fontId="14" fillId="0" borderId="0" xfId="0" applyFont="1" applyAlignment="1"/>
    <xf numFmtId="0" fontId="38" fillId="0" borderId="0" xfId="0" applyFont="1" applyAlignment="1"/>
    <xf numFmtId="0" fontId="14" fillId="0" borderId="0" xfId="0" applyFont="1" applyAlignment="1">
      <alignment horizontal="center"/>
    </xf>
    <xf numFmtId="0" fontId="1" fillId="5" borderId="55" xfId="10" applyFont="1" applyFill="1" applyBorder="1" applyAlignment="1">
      <alignment horizontal="center"/>
    </xf>
    <xf numFmtId="0" fontId="0" fillId="0" borderId="0" xfId="0" applyAlignment="1">
      <alignment horizontal="center"/>
    </xf>
    <xf numFmtId="14" fontId="0" fillId="0" borderId="0" xfId="0" applyNumberFormat="1" applyAlignment="1">
      <alignment horizontal="center"/>
    </xf>
    <xf numFmtId="0" fontId="35" fillId="0" borderId="0" xfId="0" applyFont="1" applyFill="1"/>
    <xf numFmtId="3" fontId="24" fillId="0" borderId="0" xfId="0" applyNumberFormat="1" applyFont="1"/>
    <xf numFmtId="164" fontId="39" fillId="18" borderId="0" xfId="4" applyNumberFormat="1" applyFont="1" applyFill="1" applyBorder="1" applyAlignment="1">
      <alignment horizontal="center"/>
    </xf>
    <xf numFmtId="165" fontId="18" fillId="0" borderId="2" xfId="1" applyNumberFormat="1" applyFont="1" applyFill="1" applyBorder="1" applyAlignment="1">
      <alignment vertical="top"/>
    </xf>
    <xf numFmtId="3" fontId="14" fillId="0" borderId="2" xfId="1" applyNumberFormat="1" applyFont="1" applyBorder="1" applyAlignment="1"/>
    <xf numFmtId="0" fontId="0" fillId="6" borderId="2" xfId="0" applyFill="1" applyBorder="1"/>
    <xf numFmtId="0" fontId="18" fillId="0" borderId="0" xfId="0" applyFont="1" applyAlignment="1">
      <alignment horizontal="center" vertical="top"/>
    </xf>
    <xf numFmtId="0" fontId="41" fillId="14" borderId="0" xfId="0" applyFont="1" applyFill="1" applyBorder="1" applyAlignment="1">
      <alignment vertical="top" wrapText="1"/>
    </xf>
    <xf numFmtId="0" fontId="18" fillId="0" borderId="0" xfId="0" applyFont="1" applyAlignment="1">
      <alignment horizontal="center" vertical="top"/>
    </xf>
    <xf numFmtId="0" fontId="13" fillId="6" borderId="2" xfId="0" applyFont="1" applyFill="1" applyBorder="1" applyAlignment="1">
      <alignment horizontal="center" vertical="center" wrapText="1"/>
    </xf>
    <xf numFmtId="3" fontId="15" fillId="6" borderId="2" xfId="0" applyNumberFormat="1" applyFont="1" applyFill="1" applyBorder="1" applyAlignment="1">
      <alignment horizontal="center" vertical="center" wrapText="1"/>
    </xf>
    <xf numFmtId="164" fontId="7" fillId="12" borderId="20" xfId="11" applyNumberFormat="1" applyFont="1" applyFill="1" applyBorder="1"/>
    <xf numFmtId="0" fontId="42" fillId="0" borderId="0" xfId="0" applyFont="1" applyFill="1"/>
    <xf numFmtId="0" fontId="0" fillId="0" borderId="0" xfId="0" applyFont="1"/>
    <xf numFmtId="0" fontId="0" fillId="0" borderId="0" xfId="0" applyFont="1" applyFill="1"/>
    <xf numFmtId="1" fontId="0" fillId="0" borderId="0" xfId="0" applyNumberFormat="1" applyFont="1"/>
    <xf numFmtId="0" fontId="24" fillId="0" borderId="0" xfId="0" applyFont="1" applyFill="1"/>
    <xf numFmtId="0" fontId="0" fillId="7" borderId="0" xfId="0" applyFill="1"/>
    <xf numFmtId="0" fontId="18" fillId="7" borderId="60" xfId="0" applyFont="1" applyFill="1" applyBorder="1" applyAlignment="1">
      <alignment horizontal="center"/>
    </xf>
    <xf numFmtId="14" fontId="18" fillId="0" borderId="0" xfId="0" applyNumberFormat="1" applyFont="1" applyFill="1" applyBorder="1" applyAlignment="1">
      <alignment horizontal="right"/>
    </xf>
    <xf numFmtId="0" fontId="18" fillId="13" borderId="0" xfId="0" applyFont="1" applyFill="1" applyBorder="1" applyAlignment="1"/>
    <xf numFmtId="0" fontId="18" fillId="0" borderId="0" xfId="0" applyFont="1" applyAlignment="1"/>
    <xf numFmtId="0" fontId="18" fillId="0" borderId="0" xfId="0" applyFont="1" applyAlignment="1">
      <alignment horizontal="center"/>
    </xf>
    <xf numFmtId="0" fontId="18" fillId="0" borderId="0" xfId="0" applyFont="1" applyFill="1" applyAlignment="1"/>
    <xf numFmtId="0" fontId="21" fillId="0" borderId="0" xfId="0" applyFont="1" applyAlignment="1">
      <alignment horizontal="center" vertical="top"/>
    </xf>
    <xf numFmtId="0" fontId="18" fillId="7" borderId="62" xfId="0" applyFont="1" applyFill="1" applyBorder="1" applyAlignment="1">
      <alignment horizontal="center"/>
    </xf>
    <xf numFmtId="170" fontId="18" fillId="9" borderId="63" xfId="1" applyNumberFormat="1" applyFont="1" applyFill="1" applyBorder="1" applyAlignment="1">
      <alignment vertical="top"/>
    </xf>
    <xf numFmtId="0" fontId="18" fillId="9" borderId="63" xfId="0" applyFont="1" applyFill="1" applyBorder="1" applyAlignment="1">
      <alignment vertical="top"/>
    </xf>
    <xf numFmtId="0" fontId="42" fillId="7" borderId="0" xfId="0" applyFont="1" applyFill="1"/>
    <xf numFmtId="0" fontId="24" fillId="7" borderId="0" xfId="0" applyFont="1" applyFill="1"/>
    <xf numFmtId="0" fontId="0" fillId="7" borderId="0" xfId="0" applyFont="1" applyFill="1"/>
    <xf numFmtId="49" fontId="18" fillId="9" borderId="63" xfId="0" applyNumberFormat="1" applyFont="1" applyFill="1" applyBorder="1" applyAlignment="1">
      <alignment horizontal="center" vertical="top"/>
    </xf>
    <xf numFmtId="164" fontId="18" fillId="9" borderId="63" xfId="4" applyNumberFormat="1" applyFont="1" applyFill="1" applyBorder="1" applyAlignment="1">
      <alignment vertical="top"/>
    </xf>
    <xf numFmtId="0" fontId="18" fillId="9" borderId="63" xfId="0" applyFont="1" applyFill="1" applyBorder="1" applyAlignment="1">
      <alignment horizontal="center" vertical="top"/>
    </xf>
    <xf numFmtId="49" fontId="18" fillId="9" borderId="64" xfId="0" applyNumberFormat="1" applyFont="1" applyFill="1" applyBorder="1" applyAlignment="1">
      <alignment horizontal="center" vertical="top"/>
    </xf>
    <xf numFmtId="0" fontId="18" fillId="9" borderId="64" xfId="0" applyFont="1" applyFill="1" applyBorder="1" applyAlignment="1">
      <alignment vertical="top"/>
    </xf>
    <xf numFmtId="170" fontId="18" fillId="9" borderId="64" xfId="1" applyNumberFormat="1" applyFont="1" applyFill="1" applyBorder="1" applyAlignment="1">
      <alignment vertical="top"/>
    </xf>
    <xf numFmtId="164" fontId="18" fillId="9" borderId="64" xfId="4" applyNumberFormat="1" applyFont="1" applyFill="1" applyBorder="1" applyAlignment="1">
      <alignment vertical="top"/>
    </xf>
    <xf numFmtId="0" fontId="18" fillId="9" borderId="64" xfId="0" applyFont="1" applyFill="1" applyBorder="1" applyAlignment="1">
      <alignment horizontal="center" vertical="top"/>
    </xf>
    <xf numFmtId="0" fontId="18" fillId="0" borderId="0" xfId="0" applyFont="1" applyAlignment="1">
      <alignment horizontal="center" vertical="top"/>
    </xf>
    <xf numFmtId="9" fontId="18" fillId="16" borderId="63" xfId="11" applyFont="1" applyFill="1" applyBorder="1" applyAlignment="1">
      <alignment vertical="top"/>
    </xf>
    <xf numFmtId="0" fontId="18" fillId="9" borderId="0" xfId="4" applyNumberFormat="1" applyFont="1" applyFill="1" applyBorder="1" applyAlignment="1">
      <alignment horizontal="center" vertical="top"/>
    </xf>
    <xf numFmtId="9" fontId="18" fillId="16" borderId="64" xfId="11" applyFont="1" applyFill="1" applyBorder="1" applyAlignment="1">
      <alignment vertical="top"/>
    </xf>
    <xf numFmtId="170" fontId="18" fillId="9" borderId="64" xfId="1" applyNumberFormat="1" applyFont="1" applyFill="1" applyBorder="1" applyAlignment="1">
      <alignment horizontal="center" vertical="top"/>
    </xf>
    <xf numFmtId="164" fontId="18" fillId="9" borderId="64" xfId="4" applyNumberFormat="1" applyFont="1" applyFill="1" applyBorder="1" applyAlignment="1">
      <alignment horizontal="center" vertical="top"/>
    </xf>
    <xf numFmtId="0" fontId="14" fillId="0" borderId="69" xfId="0" applyFont="1" applyBorder="1" applyAlignment="1">
      <alignment horizontal="center"/>
    </xf>
    <xf numFmtId="0" fontId="18" fillId="0" borderId="69" xfId="0" applyFont="1" applyFill="1" applyBorder="1" applyAlignment="1">
      <alignment vertical="top"/>
    </xf>
    <xf numFmtId="0" fontId="18" fillId="0" borderId="69" xfId="4" applyNumberFormat="1" applyFont="1" applyFill="1" applyBorder="1" applyAlignment="1">
      <alignment horizontal="center" vertical="top"/>
    </xf>
    <xf numFmtId="14" fontId="18" fillId="0" borderId="69" xfId="0" applyNumberFormat="1" applyFont="1" applyFill="1" applyBorder="1" applyAlignment="1">
      <alignment horizontal="right" vertical="top"/>
    </xf>
    <xf numFmtId="164" fontId="18" fillId="12" borderId="69" xfId="4" applyNumberFormat="1" applyFont="1" applyFill="1" applyBorder="1" applyAlignment="1">
      <alignment vertical="top"/>
    </xf>
    <xf numFmtId="0" fontId="18" fillId="0" borderId="69" xfId="0" applyFont="1" applyBorder="1" applyAlignment="1">
      <alignment horizontal="center" vertical="top"/>
    </xf>
    <xf numFmtId="0" fontId="18" fillId="16" borderId="63" xfId="0" applyFont="1" applyFill="1" applyBorder="1" applyAlignment="1">
      <alignment vertical="top"/>
    </xf>
    <xf numFmtId="0" fontId="18" fillId="0" borderId="69" xfId="0" applyNumberFormat="1" applyFont="1" applyFill="1" applyBorder="1" applyAlignment="1">
      <alignment horizontal="center" vertical="top"/>
    </xf>
    <xf numFmtId="164" fontId="18" fillId="0" borderId="69" xfId="4" applyNumberFormat="1" applyFont="1" applyFill="1" applyBorder="1" applyAlignment="1">
      <alignment horizontal="center" vertical="top"/>
    </xf>
    <xf numFmtId="0" fontId="18" fillId="0" borderId="69" xfId="0" applyFont="1" applyFill="1" applyBorder="1" applyAlignment="1">
      <alignment horizontal="center" vertical="top"/>
    </xf>
    <xf numFmtId="9" fontId="18" fillId="16" borderId="69" xfId="11" applyFont="1" applyFill="1" applyBorder="1" applyAlignment="1">
      <alignment vertical="top"/>
    </xf>
    <xf numFmtId="0" fontId="18" fillId="0" borderId="69" xfId="0" applyFont="1" applyBorder="1" applyAlignment="1">
      <alignment vertical="top"/>
    </xf>
    <xf numFmtId="164" fontId="18" fillId="0" borderId="69" xfId="4" applyNumberFormat="1" applyFont="1" applyBorder="1" applyAlignment="1">
      <alignment horizontal="center" vertical="top"/>
    </xf>
    <xf numFmtId="0" fontId="18" fillId="13" borderId="69" xfId="0" applyFont="1" applyFill="1" applyBorder="1" applyAlignment="1">
      <alignment vertical="top"/>
    </xf>
    <xf numFmtId="0" fontId="18" fillId="0" borderId="69" xfId="0" applyNumberFormat="1" applyFont="1" applyBorder="1" applyAlignment="1">
      <alignment horizontal="center" vertical="top"/>
    </xf>
    <xf numFmtId="0" fontId="24" fillId="0" borderId="69" xfId="0" applyFont="1" applyFill="1" applyBorder="1" applyAlignment="1">
      <alignment horizontal="center"/>
    </xf>
    <xf numFmtId="0" fontId="18" fillId="6" borderId="69" xfId="0" applyFont="1" applyFill="1" applyBorder="1" applyAlignment="1">
      <alignment vertical="top"/>
    </xf>
    <xf numFmtId="164" fontId="18" fillId="6" borderId="69" xfId="4" applyNumberFormat="1" applyFont="1" applyFill="1" applyBorder="1" applyAlignment="1">
      <alignment horizontal="center" vertical="top"/>
    </xf>
    <xf numFmtId="0" fontId="18" fillId="6" borderId="69" xfId="0" applyFont="1" applyFill="1" applyBorder="1" applyAlignment="1">
      <alignment horizontal="center" vertical="top"/>
    </xf>
    <xf numFmtId="0" fontId="18" fillId="6" borderId="69" xfId="4" applyNumberFormat="1" applyFont="1" applyFill="1" applyBorder="1" applyAlignment="1">
      <alignment horizontal="center" vertical="top"/>
    </xf>
    <xf numFmtId="9" fontId="18" fillId="16" borderId="70" xfId="11" applyFont="1" applyFill="1" applyBorder="1" applyAlignment="1">
      <alignment vertical="top"/>
    </xf>
    <xf numFmtId="0" fontId="18" fillId="0" borderId="69" xfId="0" applyFont="1" applyBorder="1" applyAlignment="1"/>
    <xf numFmtId="164" fontId="18" fillId="0" borderId="69" xfId="4" applyNumberFormat="1" applyFont="1" applyBorder="1" applyAlignment="1">
      <alignment horizontal="center"/>
    </xf>
    <xf numFmtId="0" fontId="18" fillId="0" borderId="69" xfId="0" applyFont="1" applyBorder="1" applyAlignment="1">
      <alignment horizontal="center"/>
    </xf>
    <xf numFmtId="0" fontId="18" fillId="0" borderId="69" xfId="4" applyNumberFormat="1" applyFont="1" applyFill="1" applyBorder="1" applyAlignment="1">
      <alignment horizontal="center"/>
    </xf>
    <xf numFmtId="9" fontId="18" fillId="16" borderId="72" xfId="11" applyFont="1" applyFill="1" applyBorder="1" applyAlignment="1">
      <alignment vertical="top"/>
    </xf>
    <xf numFmtId="9" fontId="18" fillId="16" borderId="31" xfId="11" applyFont="1" applyFill="1" applyBorder="1" applyAlignment="1">
      <alignment vertical="top"/>
    </xf>
    <xf numFmtId="0" fontId="18" fillId="0" borderId="69" xfId="0" applyFont="1" applyFill="1" applyBorder="1" applyAlignment="1">
      <alignment horizontal="center"/>
    </xf>
    <xf numFmtId="9" fontId="18" fillId="16" borderId="69" xfId="11" applyFont="1" applyFill="1" applyBorder="1" applyAlignment="1"/>
    <xf numFmtId="0" fontId="42" fillId="0" borderId="69" xfId="0" applyFont="1" applyFill="1" applyBorder="1" applyAlignment="1">
      <alignment horizontal="center"/>
    </xf>
    <xf numFmtId="0" fontId="18" fillId="0" borderId="69" xfId="0" applyFont="1" applyFill="1" applyBorder="1" applyAlignment="1"/>
    <xf numFmtId="0" fontId="14" fillId="19" borderId="69" xfId="0" applyFont="1" applyFill="1" applyBorder="1" applyAlignment="1">
      <alignment horizontal="center"/>
    </xf>
    <xf numFmtId="0" fontId="18" fillId="19" borderId="69" xfId="0" applyNumberFormat="1" applyFont="1" applyFill="1" applyBorder="1" applyAlignment="1">
      <alignment horizontal="center" vertical="top"/>
    </xf>
    <xf numFmtId="0" fontId="24" fillId="19" borderId="69" xfId="0" applyFont="1" applyFill="1" applyBorder="1" applyAlignment="1">
      <alignment horizontal="center"/>
    </xf>
    <xf numFmtId="0" fontId="14" fillId="0" borderId="69" xfId="0" applyFont="1" applyFill="1" applyBorder="1" applyAlignment="1">
      <alignment horizontal="center"/>
    </xf>
    <xf numFmtId="0" fontId="17" fillId="0" borderId="0" xfId="0" applyFont="1"/>
    <xf numFmtId="164" fontId="17" fillId="15" borderId="46" xfId="4" applyNumberFormat="1" applyFont="1" applyFill="1" applyBorder="1" applyProtection="1"/>
    <xf numFmtId="164" fontId="17" fillId="15" borderId="38" xfId="4" applyNumberFormat="1" applyFont="1" applyFill="1" applyBorder="1" applyProtection="1"/>
    <xf numFmtId="164" fontId="17" fillId="15" borderId="42" xfId="4" applyNumberFormat="1" applyFont="1" applyFill="1" applyBorder="1" applyProtection="1"/>
    <xf numFmtId="164" fontId="17" fillId="14" borderId="0" xfId="4" applyNumberFormat="1" applyFont="1" applyFill="1" applyProtection="1"/>
    <xf numFmtId="0" fontId="24" fillId="0" borderId="2" xfId="0" applyFont="1" applyFill="1" applyBorder="1" applyAlignment="1">
      <alignment horizontal="center"/>
    </xf>
    <xf numFmtId="15" fontId="18" fillId="0" borderId="0" xfId="0" applyNumberFormat="1" applyFont="1" applyAlignment="1">
      <alignment horizontal="center" vertical="top"/>
    </xf>
    <xf numFmtId="0" fontId="24" fillId="9" borderId="69" xfId="0" applyFont="1" applyFill="1" applyBorder="1" applyAlignment="1">
      <alignment horizontal="center"/>
    </xf>
    <xf numFmtId="0" fontId="23" fillId="0" borderId="7" xfId="0" applyFont="1" applyBorder="1" applyAlignment="1">
      <alignment horizontal="left"/>
    </xf>
    <xf numFmtId="0" fontId="23" fillId="0" borderId="9" xfId="0" applyFont="1" applyBorder="1" applyAlignment="1">
      <alignment horizontal="left"/>
    </xf>
    <xf numFmtId="0" fontId="24" fillId="20" borderId="69" xfId="0" applyFont="1" applyFill="1" applyBorder="1" applyAlignment="1">
      <alignment horizontal="center"/>
    </xf>
    <xf numFmtId="0" fontId="23" fillId="3" borderId="7" xfId="0" applyFont="1" applyFill="1" applyBorder="1" applyAlignment="1"/>
    <xf numFmtId="0" fontId="23" fillId="3" borderId="9" xfId="0" applyFont="1" applyFill="1" applyBorder="1" applyAlignment="1"/>
    <xf numFmtId="0" fontId="23" fillId="0" borderId="7" xfId="0" applyFont="1" applyBorder="1" applyAlignment="1"/>
    <xf numFmtId="0" fontId="23" fillId="0" borderId="9" xfId="0" applyFont="1" applyBorder="1" applyAlignment="1"/>
    <xf numFmtId="164" fontId="33" fillId="14" borderId="0" xfId="0" applyNumberFormat="1" applyFont="1" applyFill="1" applyBorder="1"/>
    <xf numFmtId="0" fontId="18" fillId="0" borderId="0" xfId="0" applyFont="1" applyAlignment="1">
      <alignment horizontal="center" vertical="top"/>
    </xf>
    <xf numFmtId="0" fontId="18" fillId="14" borderId="69" xfId="0" applyFont="1" applyFill="1" applyBorder="1" applyAlignment="1">
      <alignment vertical="top"/>
    </xf>
    <xf numFmtId="164" fontId="18" fillId="14" borderId="69" xfId="4" applyNumberFormat="1" applyFont="1" applyFill="1" applyBorder="1" applyAlignment="1">
      <alignment horizontal="center" vertical="top"/>
    </xf>
    <xf numFmtId="0" fontId="18" fillId="14" borderId="69" xfId="0" applyFont="1" applyFill="1" applyBorder="1" applyAlignment="1">
      <alignment horizontal="center" vertical="top"/>
    </xf>
    <xf numFmtId="0" fontId="18" fillId="14" borderId="69" xfId="4" applyNumberFormat="1" applyFont="1" applyFill="1" applyBorder="1" applyAlignment="1">
      <alignment horizontal="center" vertical="top"/>
    </xf>
    <xf numFmtId="10" fontId="24" fillId="0" borderId="21" xfId="11" applyNumberFormat="1" applyFont="1" applyBorder="1"/>
    <xf numFmtId="0" fontId="41" fillId="14" borderId="0" xfId="0" applyFont="1" applyFill="1" applyBorder="1" applyAlignment="1">
      <alignment horizontal="left" vertical="center" wrapText="1"/>
    </xf>
    <xf numFmtId="173" fontId="15" fillId="6" borderId="2" xfId="0" applyNumberFormat="1" applyFont="1" applyFill="1" applyBorder="1" applyAlignment="1">
      <alignment horizontal="center" vertical="center" wrapText="1"/>
    </xf>
    <xf numFmtId="173" fontId="0" fillId="0" borderId="2" xfId="0" applyNumberFormat="1" applyBorder="1"/>
    <xf numFmtId="173" fontId="0" fillId="0" borderId="2" xfId="1" applyNumberFormat="1" applyFont="1" applyBorder="1"/>
    <xf numFmtId="173" fontId="24" fillId="0" borderId="0" xfId="0" applyNumberFormat="1" applyFont="1"/>
    <xf numFmtId="0" fontId="6" fillId="0" borderId="0" xfId="0" applyFont="1" applyFill="1" applyBorder="1" applyAlignment="1">
      <alignment horizontal="center" vertical="center"/>
    </xf>
    <xf numFmtId="0" fontId="17" fillId="0" borderId="0" xfId="0" applyFont="1" applyFill="1" applyBorder="1" applyAlignment="1">
      <alignment horizontal="center" vertical="center" wrapText="1"/>
    </xf>
    <xf numFmtId="10" fontId="17" fillId="0" borderId="0" xfId="4" applyNumberFormat="1" applyFont="1" applyFill="1" applyBorder="1" applyAlignment="1">
      <alignment horizontal="right"/>
    </xf>
    <xf numFmtId="164" fontId="17" fillId="0" borderId="0" xfId="4" applyNumberFormat="1" applyFont="1" applyFill="1" applyBorder="1" applyAlignment="1">
      <alignment horizontal="right"/>
    </xf>
    <xf numFmtId="0" fontId="41" fillId="14" borderId="0" xfId="0" applyFont="1" applyFill="1" applyBorder="1" applyAlignment="1">
      <alignment vertical="center" wrapText="1"/>
    </xf>
    <xf numFmtId="164" fontId="23" fillId="0" borderId="0" xfId="0" applyNumberFormat="1" applyFont="1"/>
    <xf numFmtId="164" fontId="36" fillId="0" borderId="0" xfId="0" applyNumberFormat="1" applyFont="1"/>
    <xf numFmtId="164" fontId="23" fillId="0" borderId="4" xfId="4" applyNumberFormat="1" applyFont="1" applyFill="1" applyBorder="1"/>
    <xf numFmtId="164" fontId="23" fillId="0" borderId="6" xfId="0" applyNumberFormat="1" applyFont="1" applyBorder="1" applyAlignment="1">
      <alignment horizontal="center" wrapText="1"/>
    </xf>
    <xf numFmtId="164" fontId="31" fillId="15" borderId="33" xfId="0" applyNumberFormat="1" applyFont="1" applyFill="1" applyBorder="1" applyAlignment="1">
      <alignment horizontal="center" vertical="center" wrapText="1"/>
    </xf>
    <xf numFmtId="164" fontId="33" fillId="15" borderId="44" xfId="0" applyNumberFormat="1" applyFont="1" applyFill="1" applyBorder="1"/>
    <xf numFmtId="164" fontId="33" fillId="15" borderId="31" xfId="0" applyNumberFormat="1" applyFont="1" applyFill="1" applyBorder="1"/>
    <xf numFmtId="164" fontId="33" fillId="15" borderId="52" xfId="0" applyNumberFormat="1" applyFont="1" applyFill="1" applyBorder="1"/>
    <xf numFmtId="164" fontId="33" fillId="15" borderId="40" xfId="0" applyNumberFormat="1" applyFont="1" applyFill="1" applyBorder="1"/>
    <xf numFmtId="164" fontId="33" fillId="14" borderId="44" xfId="0" applyNumberFormat="1" applyFont="1" applyFill="1" applyBorder="1"/>
    <xf numFmtId="164" fontId="33" fillId="14" borderId="2" xfId="0" applyNumberFormat="1" applyFont="1" applyFill="1" applyBorder="1"/>
    <xf numFmtId="164" fontId="33" fillId="6" borderId="2" xfId="0" applyNumberFormat="1" applyFont="1" applyFill="1" applyBorder="1"/>
    <xf numFmtId="164" fontId="33" fillId="14" borderId="40" xfId="0" applyNumberFormat="1" applyFont="1" applyFill="1" applyBorder="1"/>
    <xf numFmtId="164" fontId="41" fillId="14" borderId="0" xfId="0" applyNumberFormat="1" applyFont="1" applyFill="1" applyBorder="1" applyAlignment="1">
      <alignment vertical="center" wrapText="1"/>
    </xf>
    <xf numFmtId="0" fontId="40" fillId="0" borderId="18" xfId="0" applyFont="1" applyBorder="1" applyAlignment="1"/>
    <xf numFmtId="172" fontId="44" fillId="0" borderId="0" xfId="0" applyNumberFormat="1" applyFont="1" applyAlignment="1">
      <alignment horizontal="center" vertical="top"/>
    </xf>
    <xf numFmtId="9" fontId="18" fillId="0" borderId="69" xfId="11" applyFont="1" applyFill="1" applyBorder="1" applyAlignment="1">
      <alignment vertical="top"/>
    </xf>
    <xf numFmtId="0" fontId="18" fillId="0" borderId="61" xfId="0" applyFont="1" applyFill="1" applyBorder="1" applyAlignment="1">
      <alignment vertical="top"/>
    </xf>
    <xf numFmtId="0" fontId="18" fillId="0" borderId="0" xfId="0" applyFont="1" applyAlignment="1">
      <alignment horizontal="center" vertical="top"/>
    </xf>
    <xf numFmtId="9" fontId="18" fillId="16" borderId="0" xfId="11" applyFont="1" applyFill="1" applyBorder="1" applyAlignment="1"/>
    <xf numFmtId="0" fontId="18" fillId="0" borderId="0" xfId="0" applyFont="1" applyBorder="1" applyAlignment="1">
      <alignment horizontal="center"/>
    </xf>
    <xf numFmtId="0" fontId="21" fillId="0" borderId="0" xfId="0" applyFont="1" applyFill="1" applyBorder="1" applyAlignment="1">
      <alignment horizontal="left"/>
    </xf>
    <xf numFmtId="166" fontId="18" fillId="0" borderId="0" xfId="0" applyNumberFormat="1" applyFont="1" applyAlignment="1">
      <alignment vertical="top"/>
    </xf>
    <xf numFmtId="166" fontId="18" fillId="0" borderId="0" xfId="4" applyNumberFormat="1" applyFont="1" applyAlignment="1">
      <alignment vertical="top"/>
    </xf>
    <xf numFmtId="166" fontId="27" fillId="11" borderId="26" xfId="9" applyNumberFormat="1" applyFont="1" applyFill="1" applyBorder="1" applyAlignment="1">
      <alignment horizontal="center" vertical="top" wrapText="1"/>
    </xf>
    <xf numFmtId="166" fontId="18" fillId="9" borderId="63" xfId="0" applyNumberFormat="1" applyFont="1" applyFill="1" applyBorder="1" applyAlignment="1">
      <alignment vertical="top"/>
    </xf>
    <xf numFmtId="166" fontId="18" fillId="0" borderId="69" xfId="0" applyNumberFormat="1" applyFont="1" applyBorder="1" applyAlignment="1">
      <alignment vertical="top"/>
    </xf>
    <xf numFmtId="166" fontId="18" fillId="0" borderId="69" xfId="0" applyNumberFormat="1" applyFont="1" applyFill="1" applyBorder="1" applyAlignment="1">
      <alignment vertical="top"/>
    </xf>
    <xf numFmtId="166" fontId="18" fillId="9" borderId="64" xfId="0" applyNumberFormat="1" applyFont="1" applyFill="1" applyBorder="1" applyAlignment="1">
      <alignment vertical="top"/>
    </xf>
    <xf numFmtId="166" fontId="18" fillId="9" borderId="63" xfId="4" applyNumberFormat="1" applyFont="1" applyFill="1" applyBorder="1" applyAlignment="1">
      <alignment vertical="top"/>
    </xf>
    <xf numFmtId="166" fontId="18" fillId="0" borderId="71" xfId="0" applyNumberFormat="1" applyFont="1" applyBorder="1" applyAlignment="1">
      <alignment vertical="top"/>
    </xf>
    <xf numFmtId="166" fontId="18" fillId="9" borderId="61" xfId="0" applyNumberFormat="1" applyFont="1" applyFill="1" applyBorder="1" applyAlignment="1">
      <alignment vertical="top"/>
    </xf>
    <xf numFmtId="166" fontId="18" fillId="9" borderId="60" xfId="0" applyNumberFormat="1" applyFont="1" applyFill="1" applyBorder="1" applyAlignment="1">
      <alignment vertical="top"/>
    </xf>
    <xf numFmtId="166" fontId="18" fillId="0" borderId="61" xfId="0" applyNumberFormat="1" applyFont="1" applyBorder="1" applyAlignment="1">
      <alignment vertical="top"/>
    </xf>
    <xf numFmtId="166" fontId="18" fillId="0" borderId="69" xfId="0" applyNumberFormat="1" applyFont="1" applyBorder="1" applyAlignment="1"/>
    <xf numFmtId="166" fontId="18" fillId="0" borderId="0" xfId="0" applyNumberFormat="1" applyFont="1" applyBorder="1" applyAlignment="1">
      <alignment vertical="top"/>
    </xf>
    <xf numFmtId="166" fontId="18" fillId="0" borderId="1" xfId="4" applyNumberFormat="1" applyFont="1" applyBorder="1" applyAlignment="1">
      <alignment vertical="top"/>
    </xf>
    <xf numFmtId="166" fontId="20" fillId="11" borderId="25" xfId="4" applyNumberFormat="1" applyFont="1" applyFill="1" applyBorder="1" applyAlignment="1">
      <alignment horizontal="center" vertical="top" wrapText="1"/>
    </xf>
    <xf numFmtId="166" fontId="18" fillId="12" borderId="69" xfId="4" applyNumberFormat="1" applyFont="1" applyFill="1" applyBorder="1" applyAlignment="1">
      <alignment vertical="top"/>
    </xf>
    <xf numFmtId="166" fontId="18" fillId="9" borderId="64" xfId="4" applyNumberFormat="1" applyFont="1" applyFill="1" applyBorder="1" applyAlignment="1">
      <alignment vertical="top"/>
    </xf>
    <xf numFmtId="166" fontId="18" fillId="9" borderId="63" xfId="11" applyNumberFormat="1" applyFont="1" applyFill="1" applyBorder="1" applyAlignment="1">
      <alignment vertical="top"/>
    </xf>
    <xf numFmtId="166" fontId="18" fillId="0" borderId="69" xfId="4" applyNumberFormat="1" applyFont="1" applyBorder="1" applyAlignment="1">
      <alignment vertical="top"/>
    </xf>
    <xf numFmtId="166" fontId="18" fillId="9" borderId="61" xfId="4" applyNumberFormat="1" applyFont="1" applyFill="1" applyBorder="1" applyAlignment="1">
      <alignment vertical="top"/>
    </xf>
    <xf numFmtId="166" fontId="18" fillId="0" borderId="69" xfId="4" applyNumberFormat="1" applyFont="1" applyFill="1" applyBorder="1" applyAlignment="1">
      <alignment vertical="top"/>
    </xf>
    <xf numFmtId="166" fontId="18" fillId="9" borderId="60" xfId="4" applyNumberFormat="1" applyFont="1" applyFill="1" applyBorder="1" applyAlignment="1">
      <alignment vertical="top"/>
    </xf>
    <xf numFmtId="166" fontId="18" fillId="0" borderId="61" xfId="4" applyNumberFormat="1" applyFont="1" applyBorder="1" applyAlignment="1">
      <alignment vertical="top"/>
    </xf>
    <xf numFmtId="166" fontId="18" fillId="0" borderId="0" xfId="4" applyNumberFormat="1" applyFont="1" applyBorder="1" applyAlignment="1">
      <alignment vertical="top"/>
    </xf>
    <xf numFmtId="166" fontId="18" fillId="9" borderId="67" xfId="4" applyNumberFormat="1" applyFont="1" applyFill="1" applyBorder="1" applyAlignment="1">
      <alignment vertical="top"/>
    </xf>
    <xf numFmtId="166" fontId="18" fillId="9" borderId="68" xfId="4" applyNumberFormat="1" applyFont="1" applyFill="1" applyBorder="1" applyAlignment="1">
      <alignment vertical="top"/>
    </xf>
    <xf numFmtId="166" fontId="18" fillId="0" borderId="0" xfId="4" applyNumberFormat="1" applyFont="1" applyFill="1" applyBorder="1" applyAlignment="1">
      <alignment vertical="top"/>
    </xf>
    <xf numFmtId="10" fontId="18" fillId="0" borderId="0" xfId="11" applyNumberFormat="1" applyFont="1" applyAlignment="1">
      <alignment horizontal="center" vertical="top"/>
    </xf>
    <xf numFmtId="166" fontId="18" fillId="0" borderId="5" xfId="4" applyNumberFormat="1" applyFont="1" applyBorder="1" applyAlignment="1">
      <alignment vertical="top"/>
    </xf>
    <xf numFmtId="166" fontId="18" fillId="0" borderId="12" xfId="4" applyNumberFormat="1" applyFont="1" applyBorder="1" applyAlignment="1">
      <alignment vertical="top"/>
    </xf>
    <xf numFmtId="166" fontId="18" fillId="0" borderId="28" xfId="4" applyNumberFormat="1" applyFont="1" applyBorder="1" applyAlignment="1">
      <alignment vertical="top"/>
    </xf>
    <xf numFmtId="166" fontId="18" fillId="0" borderId="29" xfId="4" applyNumberFormat="1" applyFont="1" applyBorder="1" applyAlignment="1">
      <alignment vertical="top"/>
    </xf>
    <xf numFmtId="166" fontId="20" fillId="11" borderId="3" xfId="4" applyNumberFormat="1" applyFont="1" applyFill="1" applyBorder="1" applyAlignment="1">
      <alignment horizontal="center" vertical="top" wrapText="1"/>
    </xf>
    <xf numFmtId="166" fontId="18" fillId="0" borderId="0" xfId="4" applyNumberFormat="1" applyFont="1" applyAlignment="1">
      <alignment horizontal="right" vertical="top"/>
    </xf>
    <xf numFmtId="166" fontId="18" fillId="6" borderId="69" xfId="4" applyNumberFormat="1" applyFont="1" applyFill="1" applyBorder="1" applyAlignment="1">
      <alignment vertical="top"/>
    </xf>
    <xf numFmtId="166" fontId="18" fillId="0" borderId="61" xfId="4" applyNumberFormat="1" applyFont="1" applyFill="1" applyBorder="1" applyAlignment="1">
      <alignment vertical="top"/>
    </xf>
    <xf numFmtId="166" fontId="18" fillId="0" borderId="69" xfId="4" applyNumberFormat="1" applyFont="1" applyFill="1" applyBorder="1" applyAlignment="1"/>
    <xf numFmtId="166" fontId="18" fillId="9" borderId="65" xfId="4" applyNumberFormat="1" applyFont="1" applyFill="1" applyBorder="1" applyAlignment="1">
      <alignment vertical="top"/>
    </xf>
    <xf numFmtId="166" fontId="18" fillId="9" borderId="66" xfId="4" applyNumberFormat="1" applyFont="1" applyFill="1" applyBorder="1" applyAlignment="1">
      <alignment vertical="top"/>
    </xf>
    <xf numFmtId="166" fontId="18" fillId="14" borderId="69" xfId="4" applyNumberFormat="1" applyFont="1" applyFill="1" applyBorder="1" applyAlignment="1">
      <alignment vertical="top"/>
    </xf>
    <xf numFmtId="166" fontId="20" fillId="11" borderId="26" xfId="4" applyNumberFormat="1" applyFont="1" applyFill="1" applyBorder="1" applyAlignment="1">
      <alignment horizontal="center" vertical="top" wrapText="1"/>
    </xf>
    <xf numFmtId="166" fontId="18" fillId="0" borderId="69" xfId="1" applyNumberFormat="1" applyFont="1" applyFill="1" applyBorder="1" applyAlignment="1">
      <alignment vertical="top"/>
    </xf>
    <xf numFmtId="166" fontId="18" fillId="6" borderId="69" xfId="1" applyNumberFormat="1" applyFont="1" applyFill="1" applyBorder="1" applyAlignment="1">
      <alignment vertical="top"/>
    </xf>
    <xf numFmtId="166" fontId="18" fillId="9" borderId="0" xfId="4" applyNumberFormat="1" applyFont="1" applyFill="1" applyBorder="1" applyAlignment="1">
      <alignment vertical="top"/>
    </xf>
    <xf numFmtId="166" fontId="18" fillId="0" borderId="61" xfId="1" applyNumberFormat="1" applyFont="1" applyFill="1" applyBorder="1" applyAlignment="1">
      <alignment vertical="top"/>
    </xf>
    <xf numFmtId="166" fontId="18" fillId="0" borderId="0" xfId="4" applyNumberFormat="1" applyFont="1" applyFill="1" applyAlignment="1">
      <alignment vertical="top"/>
    </xf>
    <xf numFmtId="166" fontId="18" fillId="6" borderId="69" xfId="1" applyNumberFormat="1" applyFont="1" applyFill="1" applyBorder="1" applyAlignment="1"/>
    <xf numFmtId="166" fontId="18" fillId="6" borderId="61" xfId="1" applyNumberFormat="1" applyFont="1" applyFill="1" applyBorder="1" applyAlignment="1">
      <alignment vertical="top"/>
    </xf>
    <xf numFmtId="166" fontId="18" fillId="0" borderId="69" xfId="1" applyNumberFormat="1" applyFont="1" applyFill="1" applyBorder="1" applyAlignment="1"/>
    <xf numFmtId="166" fontId="18" fillId="0" borderId="0" xfId="1" applyNumberFormat="1" applyFont="1" applyFill="1" applyBorder="1" applyAlignment="1">
      <alignment vertical="top"/>
    </xf>
    <xf numFmtId="166" fontId="18" fillId="0" borderId="0" xfId="0" applyNumberFormat="1" applyFont="1" applyAlignment="1">
      <alignment horizontal="center" vertical="top"/>
    </xf>
    <xf numFmtId="166" fontId="18" fillId="12" borderId="61" xfId="4" applyNumberFormat="1" applyFont="1" applyFill="1" applyBorder="1" applyAlignment="1">
      <alignment vertical="top"/>
    </xf>
    <xf numFmtId="166" fontId="18" fillId="12" borderId="69" xfId="4" applyNumberFormat="1" applyFont="1" applyFill="1" applyBorder="1" applyAlignment="1"/>
    <xf numFmtId="166" fontId="18" fillId="12" borderId="0" xfId="4" applyNumberFormat="1" applyFont="1" applyFill="1" applyBorder="1" applyAlignment="1">
      <alignment vertical="top"/>
    </xf>
    <xf numFmtId="166" fontId="18" fillId="12" borderId="0" xfId="4" applyNumberFormat="1" applyFont="1" applyFill="1" applyBorder="1" applyAlignment="1"/>
    <xf numFmtId="14" fontId="18" fillId="0" borderId="69" xfId="0" applyNumberFormat="1" applyFont="1" applyFill="1" applyBorder="1" applyAlignment="1">
      <alignment horizontal="left" vertical="top"/>
    </xf>
    <xf numFmtId="0" fontId="20" fillId="11" borderId="3" xfId="9" applyFont="1" applyFill="1" applyBorder="1" applyAlignment="1">
      <alignment horizontal="left" vertical="top" wrapText="1"/>
    </xf>
    <xf numFmtId="0" fontId="18" fillId="9" borderId="63" xfId="0" applyFont="1" applyFill="1" applyBorder="1" applyAlignment="1">
      <alignment horizontal="left" vertical="top"/>
    </xf>
    <xf numFmtId="0" fontId="18" fillId="9" borderId="64" xfId="0" applyFont="1" applyFill="1" applyBorder="1" applyAlignment="1">
      <alignment horizontal="left" vertical="top"/>
    </xf>
    <xf numFmtId="0" fontId="18" fillId="0" borderId="0" xfId="0" applyFont="1" applyFill="1" applyAlignment="1">
      <alignment horizontal="left" vertical="top"/>
    </xf>
    <xf numFmtId="0" fontId="18" fillId="9" borderId="0" xfId="0" applyFont="1" applyFill="1" applyBorder="1" applyAlignment="1">
      <alignment horizontal="left" vertical="top"/>
    </xf>
    <xf numFmtId="14" fontId="18" fillId="6" borderId="69" xfId="0" applyNumberFormat="1" applyFont="1" applyFill="1" applyBorder="1" applyAlignment="1">
      <alignment horizontal="left" vertical="top"/>
    </xf>
    <xf numFmtId="164" fontId="18" fillId="0" borderId="0" xfId="0" applyNumberFormat="1" applyFont="1" applyFill="1" applyAlignment="1">
      <alignment horizontal="left" vertical="top"/>
    </xf>
    <xf numFmtId="0" fontId="18" fillId="9" borderId="60" xfId="0" applyFont="1" applyFill="1" applyBorder="1" applyAlignment="1">
      <alignment horizontal="left" vertical="top"/>
    </xf>
    <xf numFmtId="14" fontId="18" fillId="0" borderId="0" xfId="0" applyNumberFormat="1" applyFont="1" applyFill="1" applyBorder="1" applyAlignment="1">
      <alignment horizontal="left" vertical="top"/>
    </xf>
    <xf numFmtId="14" fontId="18" fillId="0" borderId="69" xfId="0" applyNumberFormat="1" applyFont="1" applyFill="1" applyBorder="1" applyAlignment="1">
      <alignment horizontal="left"/>
    </xf>
    <xf numFmtId="0" fontId="45" fillId="0" borderId="0" xfId="0" applyFont="1" applyFill="1" applyBorder="1" applyAlignment="1"/>
    <xf numFmtId="0" fontId="45" fillId="0" borderId="0" xfId="0" applyFont="1" applyFill="1" applyBorder="1" applyAlignment="1">
      <alignment horizontal="center"/>
    </xf>
    <xf numFmtId="165" fontId="0" fillId="0" borderId="0" xfId="1" applyNumberFormat="1" applyFont="1" applyBorder="1"/>
    <xf numFmtId="172" fontId="17" fillId="0" borderId="0" xfId="0" applyNumberFormat="1" applyFont="1" applyAlignment="1">
      <alignment horizontal="left"/>
    </xf>
    <xf numFmtId="0" fontId="18" fillId="0" borderId="1" xfId="0" applyFont="1" applyBorder="1" applyAlignment="1">
      <alignment horizontal="center" vertical="top"/>
    </xf>
    <xf numFmtId="0" fontId="18" fillId="0" borderId="0" xfId="0" applyFont="1" applyAlignment="1">
      <alignment horizontal="center" vertical="top"/>
    </xf>
    <xf numFmtId="0" fontId="0" fillId="0" borderId="0" xfId="0" applyFont="1" applyFill="1" applyBorder="1" applyAlignment="1"/>
    <xf numFmtId="0" fontId="0" fillId="0" borderId="0" xfId="0" applyFont="1" applyFill="1" applyBorder="1" applyAlignment="1">
      <alignment horizontal="center"/>
    </xf>
    <xf numFmtId="173" fontId="0" fillId="0" borderId="0" xfId="0" applyNumberFormat="1" applyFont="1" applyFill="1" applyBorder="1" applyAlignment="1"/>
    <xf numFmtId="0" fontId="47" fillId="0" borderId="0" xfId="0" applyFont="1" applyFill="1" applyBorder="1" applyAlignment="1"/>
    <xf numFmtId="0" fontId="47" fillId="0" borderId="0" xfId="0" applyFont="1" applyFill="1" applyBorder="1" applyAlignment="1">
      <alignment horizontal="center"/>
    </xf>
    <xf numFmtId="2" fontId="47" fillId="0" borderId="0" xfId="0" applyNumberFormat="1" applyFont="1" applyFill="1" applyBorder="1" applyAlignment="1">
      <alignment horizontal="center"/>
    </xf>
    <xf numFmtId="0" fontId="47" fillId="21" borderId="0" xfId="0" applyFont="1" applyFill="1" applyBorder="1" applyAlignment="1"/>
    <xf numFmtId="0" fontId="47" fillId="0" borderId="0" xfId="0" applyFont="1" applyFill="1" applyAlignment="1"/>
    <xf numFmtId="0" fontId="45" fillId="0" borderId="0" xfId="0" applyFont="1" applyFill="1" applyBorder="1" applyAlignment="1">
      <alignment horizontal="right"/>
    </xf>
    <xf numFmtId="0" fontId="0" fillId="0" borderId="0" xfId="0" applyFont="1" applyFill="1" applyBorder="1" applyAlignment="1">
      <alignment horizontal="right"/>
    </xf>
    <xf numFmtId="0" fontId="0" fillId="0" borderId="0" xfId="0" applyFont="1" applyFill="1" applyBorder="1" applyAlignment="1">
      <alignment horizontal="left"/>
    </xf>
    <xf numFmtId="0" fontId="0" fillId="0" borderId="0" xfId="0" applyFill="1" applyBorder="1" applyAlignment="1"/>
    <xf numFmtId="166" fontId="16" fillId="0" borderId="0" xfId="11" applyNumberFormat="1" applyFont="1"/>
    <xf numFmtId="166" fontId="0" fillId="0" borderId="0" xfId="0" applyNumberFormat="1"/>
    <xf numFmtId="1" fontId="0" fillId="0" borderId="0" xfId="0" applyNumberFormat="1" applyFont="1" applyFill="1"/>
    <xf numFmtId="0" fontId="43" fillId="0" borderId="0" xfId="0" applyFont="1" applyFill="1"/>
    <xf numFmtId="1" fontId="0" fillId="0" borderId="0" xfId="0" applyNumberFormat="1" applyFill="1"/>
    <xf numFmtId="39" fontId="23" fillId="0" borderId="0" xfId="0" applyNumberFormat="1" applyFont="1" applyFill="1"/>
    <xf numFmtId="0" fontId="8" fillId="17" borderId="13" xfId="8" applyFont="1" applyFill="1" applyBorder="1" applyAlignment="1">
      <alignment horizontal="center" vertical="center" wrapText="1"/>
    </xf>
    <xf numFmtId="0" fontId="8" fillId="17" borderId="14" xfId="8" applyFont="1" applyFill="1" applyBorder="1" applyAlignment="1">
      <alignment horizontal="center" vertical="center" wrapText="1"/>
    </xf>
    <xf numFmtId="0" fontId="8" fillId="17" borderId="27" xfId="8" applyFont="1" applyFill="1" applyBorder="1" applyAlignment="1">
      <alignment horizontal="center" vertical="center" wrapText="1"/>
    </xf>
    <xf numFmtId="0" fontId="8" fillId="17" borderId="17" xfId="8" applyFont="1" applyFill="1" applyBorder="1" applyAlignment="1">
      <alignment horizontal="center" vertical="center" wrapText="1"/>
    </xf>
    <xf numFmtId="0" fontId="8" fillId="17" borderId="18" xfId="8" applyFont="1" applyFill="1" applyBorder="1" applyAlignment="1">
      <alignment horizontal="center" vertical="center" wrapText="1"/>
    </xf>
    <xf numFmtId="0" fontId="8" fillId="17" borderId="24" xfId="8" applyFont="1" applyFill="1" applyBorder="1" applyAlignment="1">
      <alignment horizontal="center" vertical="center" wrapText="1"/>
    </xf>
    <xf numFmtId="0" fontId="7" fillId="17" borderId="13" xfId="0" applyFont="1" applyFill="1" applyBorder="1" applyAlignment="1">
      <alignment horizontal="center" vertical="center"/>
    </xf>
    <xf numFmtId="0" fontId="7" fillId="17" borderId="27" xfId="0" applyFont="1" applyFill="1" applyBorder="1" applyAlignment="1">
      <alignment horizontal="center" vertical="center"/>
    </xf>
    <xf numFmtId="0" fontId="7" fillId="17" borderId="17" xfId="0" applyFont="1" applyFill="1" applyBorder="1" applyAlignment="1">
      <alignment horizontal="center" vertical="center"/>
    </xf>
    <xf numFmtId="0" fontId="7" fillId="17" borderId="24" xfId="0" applyFont="1" applyFill="1" applyBorder="1" applyAlignment="1">
      <alignment horizontal="center" vertical="center"/>
    </xf>
    <xf numFmtId="0" fontId="8" fillId="17" borderId="13" xfId="0" applyFont="1" applyFill="1" applyBorder="1" applyAlignment="1">
      <alignment horizontal="center" vertical="center" wrapText="1"/>
    </xf>
    <xf numFmtId="0" fontId="8" fillId="17" borderId="14" xfId="0" applyFont="1" applyFill="1" applyBorder="1" applyAlignment="1">
      <alignment horizontal="center" vertical="center" wrapText="1"/>
    </xf>
    <xf numFmtId="0" fontId="8" fillId="17" borderId="27" xfId="0" applyFont="1" applyFill="1" applyBorder="1" applyAlignment="1">
      <alignment horizontal="center" vertical="center" wrapText="1"/>
    </xf>
    <xf numFmtId="0" fontId="8" fillId="17" borderId="17" xfId="0" applyFont="1" applyFill="1" applyBorder="1" applyAlignment="1">
      <alignment horizontal="center" vertical="center" wrapText="1"/>
    </xf>
    <xf numFmtId="0" fontId="8" fillId="17" borderId="18" xfId="0" applyFont="1" applyFill="1" applyBorder="1" applyAlignment="1">
      <alignment horizontal="center" vertical="center" wrapText="1"/>
    </xf>
    <xf numFmtId="0" fontId="8" fillId="17" borderId="24" xfId="0" applyFont="1" applyFill="1" applyBorder="1" applyAlignment="1">
      <alignment horizontal="center" vertical="center" wrapText="1"/>
    </xf>
    <xf numFmtId="0" fontId="7" fillId="17" borderId="54" xfId="0" applyFont="1" applyFill="1" applyBorder="1" applyAlignment="1">
      <alignment horizontal="center" vertical="center"/>
    </xf>
    <xf numFmtId="0" fontId="7" fillId="17" borderId="59" xfId="0" applyFont="1" applyFill="1" applyBorder="1" applyAlignment="1">
      <alignment horizontal="center" vertical="center"/>
    </xf>
    <xf numFmtId="10" fontId="23" fillId="0" borderId="0" xfId="11" applyNumberFormat="1" applyFont="1" applyAlignment="1">
      <alignment horizontal="left" vertical="top" wrapText="1"/>
    </xf>
    <xf numFmtId="0" fontId="40" fillId="0" borderId="18" xfId="0" applyFont="1" applyBorder="1" applyAlignment="1">
      <alignment horizontal="center"/>
    </xf>
    <xf numFmtId="0" fontId="7" fillId="6" borderId="56" xfId="0" applyFont="1" applyFill="1" applyBorder="1" applyAlignment="1">
      <alignment horizontal="center" vertical="center" textRotation="90"/>
    </xf>
    <xf numFmtId="0" fontId="7" fillId="6" borderId="57" xfId="0" applyFont="1" applyFill="1" applyBorder="1" applyAlignment="1">
      <alignment horizontal="center" vertical="center" textRotation="90"/>
    </xf>
    <xf numFmtId="0" fontId="7" fillId="6" borderId="58" xfId="0" applyFont="1" applyFill="1" applyBorder="1" applyAlignment="1">
      <alignment horizontal="center" vertical="center" textRotation="90"/>
    </xf>
    <xf numFmtId="0" fontId="41" fillId="14" borderId="0" xfId="0" applyFont="1" applyFill="1" applyBorder="1" applyAlignment="1">
      <alignment horizontal="left" vertical="center" wrapText="1"/>
    </xf>
    <xf numFmtId="0" fontId="18" fillId="0" borderId="0" xfId="0" applyFont="1" applyBorder="1" applyAlignment="1">
      <alignment horizontal="left" vertical="top" wrapText="1"/>
    </xf>
    <xf numFmtId="0" fontId="18" fillId="0" borderId="0" xfId="0" applyFont="1" applyAlignment="1">
      <alignment horizontal="center" vertical="top"/>
    </xf>
  </cellXfs>
  <cellStyles count="14">
    <cellStyle name="Comma" xfId="1" builtinId="3"/>
    <cellStyle name="Comma 2" xfId="2"/>
    <cellStyle name="Comma 3" xfId="3"/>
    <cellStyle name="Currency" xfId="4" builtinId="4"/>
    <cellStyle name="Currency 2" xfId="5"/>
    <cellStyle name="Currency 3" xfId="6"/>
    <cellStyle name="Normal" xfId="0" builtinId="0"/>
    <cellStyle name="Normal 2" xfId="7"/>
    <cellStyle name="Normal 3" xfId="8"/>
    <cellStyle name="Normal_regional" xfId="9"/>
    <cellStyle name="Normal_Sheet1" xfId="10"/>
    <cellStyle name="Percent" xfId="11" builtinId="5"/>
    <cellStyle name="Percent 2" xfId="12"/>
    <cellStyle name="Percent 3" xfId="13"/>
  </cellStyles>
  <dxfs count="7">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theme="0"/>
      </font>
    </dxf>
  </dxfs>
  <tableStyles count="0" defaultTableStyle="TableStyleMedium9" defaultPivotStyle="PivotStyleLight16"/>
  <colors>
    <mruColors>
      <color rgb="FFFFFFCC"/>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11</xdr:col>
      <xdr:colOff>355759</xdr:colOff>
      <xdr:row>35</xdr:row>
      <xdr:rowOff>110967</xdr:rowOff>
    </xdr:from>
    <xdr:ext cx="184731" cy="264560"/>
    <xdr:sp macro="" textlink="">
      <xdr:nvSpPr>
        <xdr:cNvPr id="3" name="TextBox 2"/>
        <xdr:cNvSpPr txBox="1"/>
      </xdr:nvSpPr>
      <xdr:spPr>
        <a:xfrm>
          <a:off x="10180116" y="937743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11</xdr:col>
      <xdr:colOff>355759</xdr:colOff>
      <xdr:row>35</xdr:row>
      <xdr:rowOff>110967</xdr:rowOff>
    </xdr:from>
    <xdr:ext cx="184731" cy="264560"/>
    <xdr:sp macro="" textlink="">
      <xdr:nvSpPr>
        <xdr:cNvPr id="4" name="TextBox 3"/>
        <xdr:cNvSpPr txBox="1"/>
      </xdr:nvSpPr>
      <xdr:spPr>
        <a:xfrm>
          <a:off x="10180116" y="937743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11</xdr:col>
      <xdr:colOff>355759</xdr:colOff>
      <xdr:row>35</xdr:row>
      <xdr:rowOff>110967</xdr:rowOff>
    </xdr:from>
    <xdr:ext cx="184731" cy="264560"/>
    <xdr:sp macro="" textlink="">
      <xdr:nvSpPr>
        <xdr:cNvPr id="5" name="TextBox 4"/>
        <xdr:cNvSpPr txBox="1"/>
      </xdr:nvSpPr>
      <xdr:spPr>
        <a:xfrm>
          <a:off x="10180116" y="937743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619125</xdr:colOff>
      <xdr:row>0</xdr:row>
      <xdr:rowOff>57150</xdr:rowOff>
    </xdr:from>
    <xdr:to>
      <xdr:col>3</xdr:col>
      <xdr:colOff>1847850</xdr:colOff>
      <xdr:row>6</xdr:row>
      <xdr:rowOff>126066</xdr:rowOff>
    </xdr:to>
    <xdr:pic>
      <xdr:nvPicPr>
        <xdr:cNvPr id="1326" name="Picture 2" descr="TDHCA logo.jpg"/>
        <xdr:cNvPicPr>
          <a:picLocks noChangeAspect="1"/>
        </xdr:cNvPicPr>
      </xdr:nvPicPr>
      <xdr:blipFill>
        <a:blip xmlns:r="http://schemas.openxmlformats.org/officeDocument/2006/relationships" r:embed="rId1" cstate="print"/>
        <a:srcRect/>
        <a:stretch>
          <a:fillRect/>
        </a:stretch>
      </xdr:blipFill>
      <xdr:spPr bwMode="auto">
        <a:xfrm>
          <a:off x="1295400" y="57150"/>
          <a:ext cx="1228725" cy="12287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2:AX79"/>
  <sheetViews>
    <sheetView showGridLines="0" tabSelected="1" zoomScale="70" zoomScaleNormal="70" zoomScaleSheetLayoutView="40" workbookViewId="0">
      <selection activeCell="B22" sqref="B22:D22"/>
    </sheetView>
  </sheetViews>
  <sheetFormatPr defaultRowHeight="15"/>
  <cols>
    <col min="1" max="1" width="2.28515625" customWidth="1"/>
    <col min="2" max="2" width="8" customWidth="1"/>
    <col min="3" max="3" width="3.85546875" customWidth="1"/>
    <col min="4" max="4" width="25.140625" customWidth="1"/>
    <col min="5" max="5" width="18.28515625" customWidth="1"/>
    <col min="6" max="6" width="13.42578125" customWidth="1"/>
    <col min="7" max="9" width="15.28515625" customWidth="1"/>
    <col min="10" max="10" width="12.5703125" customWidth="1"/>
    <col min="11" max="11" width="16" bestFit="1" customWidth="1"/>
    <col min="12" max="12" width="22.28515625" style="91" bestFit="1" customWidth="1"/>
    <col min="13" max="13" width="16.28515625" customWidth="1"/>
    <col min="14" max="14" width="2.28515625" customWidth="1"/>
    <col min="15" max="15" width="20" customWidth="1"/>
    <col min="16" max="16" width="18" customWidth="1"/>
    <col min="17" max="18" width="17.28515625" customWidth="1"/>
    <col min="19" max="19" width="5.140625" customWidth="1"/>
    <col min="20" max="20" width="16.5703125" customWidth="1"/>
    <col min="21" max="21" width="9.28515625" customWidth="1"/>
    <col min="22" max="22" width="4.140625" style="11" customWidth="1"/>
    <col min="23" max="23" width="15.42578125" style="11" customWidth="1"/>
    <col min="24" max="24" width="13.7109375" customWidth="1"/>
    <col min="25" max="25" width="4.5703125" style="11" customWidth="1"/>
    <col min="26" max="26" width="17.85546875" style="11" customWidth="1"/>
    <col min="27" max="27" width="12" customWidth="1"/>
    <col min="28" max="28" width="17" style="11" customWidth="1"/>
    <col min="29" max="29" width="7.140625" customWidth="1"/>
    <col min="30" max="30" width="9.85546875" bestFit="1" customWidth="1"/>
    <col min="31" max="31" width="7.140625" customWidth="1"/>
    <col min="32" max="32" width="31.28515625" customWidth="1"/>
    <col min="38" max="38" width="24" customWidth="1"/>
    <col min="39" max="40" width="15.42578125" customWidth="1"/>
    <col min="41" max="41" width="16.28515625" customWidth="1"/>
    <col min="42" max="42" width="19.5703125" customWidth="1"/>
    <col min="46" max="46" width="20.7109375" customWidth="1"/>
    <col min="47" max="50" width="15.7109375" customWidth="1"/>
  </cols>
  <sheetData>
    <row r="2" spans="5:20">
      <c r="E2" s="49" t="s">
        <v>33</v>
      </c>
      <c r="F2" s="50"/>
      <c r="G2" s="50"/>
      <c r="H2" s="50"/>
      <c r="I2" s="50"/>
      <c r="J2" s="50"/>
      <c r="K2" s="51"/>
      <c r="L2" s="442" t="s">
        <v>34</v>
      </c>
    </row>
    <row r="3" spans="5:20">
      <c r="E3" s="50">
        <v>2018</v>
      </c>
      <c r="F3" s="52" t="s">
        <v>81</v>
      </c>
      <c r="G3" s="52"/>
      <c r="H3" s="52"/>
      <c r="I3" s="52"/>
      <c r="J3" s="52"/>
      <c r="K3" s="51"/>
      <c r="L3" s="554">
        <f>2.4*1.125</f>
        <v>2.6999999999999997</v>
      </c>
    </row>
    <row r="4" spans="5:20" ht="15.75" thickBot="1">
      <c r="E4" s="50">
        <v>2018</v>
      </c>
      <c r="F4" s="53" t="s">
        <v>82</v>
      </c>
      <c r="G4" s="53"/>
      <c r="H4" s="53"/>
      <c r="I4" s="53"/>
      <c r="J4" s="53"/>
      <c r="K4" s="51"/>
      <c r="L4" s="443">
        <v>28304596</v>
      </c>
      <c r="O4" s="321"/>
      <c r="S4" s="160"/>
      <c r="T4" s="160"/>
    </row>
    <row r="5" spans="5:20" ht="15.75" thickTop="1">
      <c r="E5" s="50"/>
      <c r="F5" s="50" t="s">
        <v>35</v>
      </c>
      <c r="G5" s="50"/>
      <c r="H5" s="50"/>
      <c r="I5" s="50"/>
      <c r="J5" s="50"/>
      <c r="K5" s="51"/>
      <c r="L5" s="444">
        <f>(L3*L4)</f>
        <v>76422409.199999988</v>
      </c>
      <c r="S5" s="161"/>
      <c r="T5" s="162"/>
    </row>
    <row r="6" spans="5:20">
      <c r="E6" s="50"/>
      <c r="F6" s="50"/>
      <c r="G6" s="50"/>
      <c r="H6" s="50"/>
      <c r="I6" s="50"/>
      <c r="J6" s="50"/>
      <c r="K6" s="51"/>
      <c r="L6" s="442"/>
      <c r="S6" s="161"/>
      <c r="T6" s="162"/>
    </row>
    <row r="7" spans="5:20">
      <c r="E7" s="49" t="s">
        <v>36</v>
      </c>
      <c r="F7" s="50"/>
      <c r="G7" s="50"/>
      <c r="H7" s="50"/>
      <c r="I7" s="50"/>
      <c r="J7" s="50"/>
      <c r="K7" s="51"/>
      <c r="L7" s="442"/>
      <c r="S7" s="161"/>
      <c r="T7" s="162"/>
    </row>
    <row r="8" spans="5:20">
      <c r="E8" s="54"/>
      <c r="F8" s="55" t="s">
        <v>37</v>
      </c>
      <c r="G8" s="55"/>
      <c r="H8" s="55"/>
      <c r="I8" s="55"/>
      <c r="J8" s="56"/>
      <c r="K8" s="57"/>
      <c r="L8" s="445" t="s">
        <v>38</v>
      </c>
      <c r="S8" s="161"/>
      <c r="T8" s="162"/>
    </row>
    <row r="9" spans="5:20">
      <c r="E9" s="58"/>
      <c r="F9" s="421" t="s">
        <v>39</v>
      </c>
      <c r="G9" s="421"/>
      <c r="H9" s="421"/>
      <c r="I9" s="421"/>
      <c r="J9" s="422"/>
      <c r="K9" s="59"/>
      <c r="L9" s="60"/>
      <c r="S9" s="161"/>
      <c r="T9" s="162"/>
    </row>
    <row r="10" spans="5:20">
      <c r="E10" s="61"/>
      <c r="F10" s="423" t="s">
        <v>150</v>
      </c>
      <c r="G10" s="423"/>
      <c r="H10" s="423"/>
      <c r="I10" s="423"/>
      <c r="J10" s="424"/>
      <c r="K10" s="59"/>
      <c r="L10" s="62">
        <v>50216</v>
      </c>
      <c r="S10" s="163"/>
      <c r="T10" s="160"/>
    </row>
    <row r="11" spans="5:20">
      <c r="E11" s="61"/>
      <c r="F11" s="423" t="s">
        <v>151</v>
      </c>
      <c r="G11" s="423"/>
      <c r="H11" s="423"/>
      <c r="I11" s="423"/>
      <c r="J11" s="424"/>
      <c r="K11" s="59"/>
      <c r="L11" s="62">
        <v>205075</v>
      </c>
      <c r="S11" s="164"/>
      <c r="T11" s="160"/>
    </row>
    <row r="12" spans="5:20">
      <c r="E12" s="61"/>
      <c r="F12" s="418" t="s">
        <v>713</v>
      </c>
      <c r="G12" s="418"/>
      <c r="H12" s="418"/>
      <c r="I12" s="418"/>
      <c r="J12" s="419"/>
      <c r="K12" s="63"/>
      <c r="L12" s="64">
        <f>L5+L11</f>
        <v>76627484.199999988</v>
      </c>
      <c r="S12" s="165"/>
      <c r="T12" s="160"/>
    </row>
    <row r="13" spans="5:20">
      <c r="E13" s="50"/>
      <c r="F13" s="68" t="s">
        <v>712</v>
      </c>
      <c r="G13" s="68"/>
      <c r="H13" s="68"/>
      <c r="I13" s="68"/>
      <c r="J13" s="68"/>
      <c r="K13" s="69"/>
      <c r="L13" s="70">
        <f>L10+L12</f>
        <v>76677700.199999988</v>
      </c>
    </row>
    <row r="14" spans="5:20">
      <c r="E14" s="50"/>
      <c r="F14" s="50"/>
      <c r="G14" s="50"/>
      <c r="H14" s="50"/>
      <c r="I14" s="50"/>
      <c r="J14" s="50"/>
      <c r="K14" s="51"/>
      <c r="L14" s="71"/>
    </row>
    <row r="15" spans="5:20">
      <c r="E15" s="50"/>
      <c r="F15" s="72" t="s">
        <v>40</v>
      </c>
      <c r="G15" s="72"/>
      <c r="H15" s="72"/>
      <c r="I15" s="72"/>
      <c r="J15" s="73"/>
      <c r="K15" s="67"/>
      <c r="L15" s="74">
        <f>(0.15*L12)+35961</f>
        <v>11530083.629999997</v>
      </c>
      <c r="O15" s="91"/>
    </row>
    <row r="16" spans="5:20">
      <c r="E16" s="50"/>
      <c r="F16" s="65" t="s">
        <v>41</v>
      </c>
      <c r="G16" s="65"/>
      <c r="H16" s="65"/>
      <c r="I16" s="65"/>
      <c r="J16" s="66"/>
      <c r="K16" s="75"/>
      <c r="L16" s="76">
        <f>0.05*L13</f>
        <v>3833885.01</v>
      </c>
    </row>
    <row r="17" spans="1:50">
      <c r="E17" s="50"/>
      <c r="F17" s="77" t="s">
        <v>42</v>
      </c>
      <c r="G17" s="77"/>
      <c r="H17" s="77"/>
      <c r="I17" s="77"/>
      <c r="J17" s="78"/>
      <c r="K17" s="79"/>
      <c r="L17" s="80">
        <f>0.2*(L13)</f>
        <v>15335540.039999999</v>
      </c>
      <c r="M17" s="315"/>
      <c r="O17" s="316"/>
    </row>
    <row r="18" spans="1:50">
      <c r="E18" s="50"/>
      <c r="F18" s="65" t="s">
        <v>43</v>
      </c>
      <c r="G18" s="65"/>
      <c r="H18" s="65"/>
      <c r="I18" s="65"/>
      <c r="J18" s="66"/>
      <c r="K18" s="75"/>
      <c r="L18" s="81">
        <f>0.1*L13</f>
        <v>7667770.0199999996</v>
      </c>
    </row>
    <row r="19" spans="1:50">
      <c r="E19" s="50"/>
      <c r="F19" s="61" t="s">
        <v>708</v>
      </c>
      <c r="G19" s="61"/>
      <c r="H19" s="61"/>
      <c r="I19" s="61"/>
      <c r="J19" s="73"/>
      <c r="K19" s="67"/>
      <c r="L19" s="82">
        <f>(L13-L15)</f>
        <v>65147616.569999993</v>
      </c>
    </row>
    <row r="21" spans="1:50" ht="21.75" thickBot="1">
      <c r="A21" s="574" t="s">
        <v>152</v>
      </c>
      <c r="B21" s="574"/>
      <c r="C21" s="574"/>
      <c r="D21" s="574"/>
      <c r="E21" s="574"/>
      <c r="F21" s="574"/>
      <c r="G21" s="574"/>
      <c r="H21" s="574"/>
      <c r="I21" s="574"/>
      <c r="J21" s="574"/>
      <c r="K21" s="574"/>
      <c r="L21" s="574"/>
      <c r="M21" s="574"/>
      <c r="N21" s="574"/>
      <c r="O21" s="574"/>
      <c r="P21" s="574"/>
      <c r="Q21" s="574"/>
      <c r="R21" s="574"/>
      <c r="S21" s="456"/>
      <c r="T21" s="456"/>
      <c r="U21" s="456"/>
      <c r="V21" s="456"/>
      <c r="W21" s="456"/>
      <c r="X21" s="456"/>
      <c r="Y21" s="456"/>
      <c r="Z21" s="456"/>
      <c r="AA21" s="456"/>
      <c r="AB21" s="456"/>
    </row>
    <row r="22" spans="1:50" ht="20.25" customHeight="1" thickBot="1">
      <c r="B22" s="410" t="s">
        <v>726</v>
      </c>
      <c r="D22" s="534">
        <v>43494</v>
      </c>
    </row>
    <row r="23" spans="1:50" ht="15" customHeight="1">
      <c r="A23" s="83"/>
      <c r="B23" s="34"/>
      <c r="C23" s="565" t="s">
        <v>707</v>
      </c>
      <c r="D23" s="566"/>
      <c r="E23" s="566"/>
      <c r="F23" s="566"/>
      <c r="G23" s="566"/>
      <c r="H23" s="566"/>
      <c r="I23" s="566"/>
      <c r="J23" s="566"/>
      <c r="K23" s="566"/>
      <c r="L23" s="566"/>
      <c r="M23" s="567"/>
      <c r="O23" s="571" t="s">
        <v>149</v>
      </c>
      <c r="P23" s="561" t="s">
        <v>715</v>
      </c>
      <c r="Q23" s="562"/>
      <c r="R23" s="437"/>
      <c r="T23" s="555" t="s">
        <v>148</v>
      </c>
      <c r="U23" s="556"/>
      <c r="V23" s="556"/>
      <c r="W23" s="556"/>
      <c r="X23" s="556"/>
      <c r="Y23" s="556"/>
      <c r="Z23" s="556"/>
      <c r="AA23" s="556"/>
      <c r="AB23" s="557"/>
    </row>
    <row r="24" spans="1:50" ht="15.75" thickBot="1">
      <c r="A24" s="37"/>
      <c r="B24" s="36"/>
      <c r="C24" s="568"/>
      <c r="D24" s="569"/>
      <c r="E24" s="569"/>
      <c r="F24" s="569"/>
      <c r="G24" s="569"/>
      <c r="H24" s="569"/>
      <c r="I24" s="569"/>
      <c r="J24" s="569"/>
      <c r="K24" s="569"/>
      <c r="L24" s="569"/>
      <c r="M24" s="570"/>
      <c r="O24" s="572"/>
      <c r="P24" s="563"/>
      <c r="Q24" s="564"/>
      <c r="R24" s="437"/>
      <c r="T24" s="558"/>
      <c r="U24" s="559"/>
      <c r="V24" s="559"/>
      <c r="W24" s="559"/>
      <c r="X24" s="559"/>
      <c r="Y24" s="559"/>
      <c r="Z24" s="559"/>
      <c r="AA24" s="559"/>
      <c r="AB24" s="560"/>
    </row>
    <row r="25" spans="1:50" ht="15.75" thickBot="1">
      <c r="A25" s="34"/>
      <c r="B25" s="38"/>
      <c r="C25" s="38"/>
      <c r="D25" s="39"/>
      <c r="E25" s="39"/>
      <c r="F25" s="39"/>
      <c r="G25" s="34"/>
      <c r="H25" s="34"/>
      <c r="I25" s="34"/>
      <c r="J25" s="34"/>
      <c r="K25" s="34"/>
      <c r="L25" s="42"/>
      <c r="M25" s="34"/>
      <c r="N25" s="34"/>
      <c r="O25" s="34"/>
      <c r="P25" s="34"/>
      <c r="Q25" s="34"/>
      <c r="R25" s="185"/>
      <c r="S25" s="34"/>
      <c r="U25" s="2"/>
      <c r="V25" s="6"/>
      <c r="W25" s="6"/>
      <c r="X25" s="2"/>
      <c r="Y25" s="6"/>
      <c r="Z25" s="6"/>
      <c r="AA25" s="2"/>
      <c r="AB25" s="6"/>
      <c r="AD25" s="146"/>
      <c r="AE25" s="146"/>
      <c r="AF25" s="146"/>
      <c r="AG25" s="146"/>
      <c r="AH25" s="146"/>
      <c r="AI25" s="146"/>
      <c r="AJ25" s="146"/>
      <c r="AK25" s="146"/>
      <c r="AL25" s="146"/>
      <c r="AM25" s="146"/>
      <c r="AN25" s="146"/>
      <c r="AO25" s="146"/>
      <c r="AP25" s="146"/>
      <c r="AQ25" s="146"/>
      <c r="AR25" s="146"/>
      <c r="AS25" s="146"/>
      <c r="AT25" s="146"/>
      <c r="AU25" s="146"/>
      <c r="AV25" s="146"/>
      <c r="AW25" s="146"/>
      <c r="AX25" s="146"/>
    </row>
    <row r="26" spans="1:50" ht="78.75" customHeight="1" thickBot="1">
      <c r="A26" s="35"/>
      <c r="B26" s="167"/>
      <c r="C26" s="187" t="s">
        <v>0</v>
      </c>
      <c r="D26" s="188" t="s">
        <v>102</v>
      </c>
      <c r="E26" s="188" t="s">
        <v>103</v>
      </c>
      <c r="F26" s="188" t="s">
        <v>153</v>
      </c>
      <c r="G26" s="188" t="s">
        <v>104</v>
      </c>
      <c r="H26" s="188" t="s">
        <v>76</v>
      </c>
      <c r="I26" s="188" t="s">
        <v>77</v>
      </c>
      <c r="J26" s="188" t="s">
        <v>78</v>
      </c>
      <c r="K26" s="188" t="s">
        <v>105</v>
      </c>
      <c r="L26" s="446" t="s">
        <v>5</v>
      </c>
      <c r="M26" s="295" t="s">
        <v>79</v>
      </c>
      <c r="N26" s="189"/>
      <c r="O26" s="190" t="s">
        <v>106</v>
      </c>
      <c r="P26" s="301" t="s">
        <v>136</v>
      </c>
      <c r="Q26" s="301" t="s">
        <v>137</v>
      </c>
      <c r="R26" s="438"/>
      <c r="T26" s="5" t="s">
        <v>25</v>
      </c>
      <c r="U26" s="48" t="s">
        <v>24</v>
      </c>
      <c r="V26" s="48" t="s">
        <v>56</v>
      </c>
      <c r="W26" s="5" t="s">
        <v>26</v>
      </c>
      <c r="X26" s="48" t="s">
        <v>24</v>
      </c>
      <c r="Y26" s="48"/>
      <c r="Z26" s="5" t="s">
        <v>27</v>
      </c>
      <c r="AA26" s="48" t="s">
        <v>24</v>
      </c>
      <c r="AB26" s="5" t="s">
        <v>70</v>
      </c>
      <c r="AC26" s="143"/>
      <c r="AD26" s="143"/>
      <c r="AE26" s="143"/>
      <c r="AF26" s="143"/>
      <c r="AG26" s="143"/>
      <c r="AH26" s="146"/>
      <c r="AI26" s="147"/>
      <c r="AJ26" s="148"/>
      <c r="AK26" s="149"/>
      <c r="AL26" s="149"/>
      <c r="AM26" s="149"/>
      <c r="AN26" s="149"/>
      <c r="AO26" s="149"/>
      <c r="AP26" s="146"/>
      <c r="AQ26" s="147"/>
      <c r="AR26" s="148"/>
      <c r="AS26" s="149"/>
      <c r="AT26" s="149"/>
      <c r="AU26" s="149"/>
      <c r="AV26" s="149"/>
      <c r="AW26" s="149"/>
    </row>
    <row r="27" spans="1:50" ht="15" customHeight="1">
      <c r="A27" s="159"/>
      <c r="B27" s="575" t="s">
        <v>14</v>
      </c>
      <c r="C27" s="191">
        <v>1</v>
      </c>
      <c r="D27" s="192" t="s">
        <v>7</v>
      </c>
      <c r="E27" s="249">
        <v>1374268.3763550282</v>
      </c>
      <c r="F27" s="249"/>
      <c r="G27" s="214">
        <f>E27+F27</f>
        <v>1374268.3763550282</v>
      </c>
      <c r="H27" s="214">
        <f>IF(G27&lt;500000,500000-G27,0)</f>
        <v>0</v>
      </c>
      <c r="I27" s="214">
        <f>IF(G27&gt;500000,G27-500000,0)</f>
        <v>874268.37635502825</v>
      </c>
      <c r="J27" s="291">
        <f>IF(G27&gt;500000,(G27-500000)/$I$58,0)</f>
        <v>1.6554337600495454E-2</v>
      </c>
      <c r="K27" s="216">
        <f>IF(G27&lt;500000,H27,-J27*$H$58)</f>
        <v>-10999.126594057137</v>
      </c>
      <c r="L27" s="447">
        <f>G27+K27</f>
        <v>1363269.2497609712</v>
      </c>
      <c r="M27" s="296">
        <f>L27/$E$61</f>
        <v>1.7790865347490348E-2</v>
      </c>
      <c r="N27" s="195"/>
      <c r="O27" s="411">
        <v>1500000</v>
      </c>
      <c r="P27" s="302" t="s">
        <v>138</v>
      </c>
      <c r="Q27" s="303" t="s">
        <v>138</v>
      </c>
      <c r="R27" s="439"/>
      <c r="S27">
        <v>1</v>
      </c>
      <c r="T27" s="132">
        <f>+'App Log'!N41</f>
        <v>0</v>
      </c>
      <c r="U27" s="7">
        <f t="shared" ref="U27:U39" si="0">1-T27/L27</f>
        <v>1</v>
      </c>
      <c r="V27" s="46">
        <f>RANK(U27,U$27:U$39,0)</f>
        <v>1</v>
      </c>
      <c r="W27" s="177"/>
      <c r="X27" s="7">
        <f t="shared" ref="X27:X39" si="1">1-(W27+T27)/L27</f>
        <v>1</v>
      </c>
      <c r="Y27" s="46">
        <f t="shared" ref="Y27:Y39" si="2">RANK(X27,X$27:X$53,0)</f>
        <v>1</v>
      </c>
      <c r="Z27" s="132">
        <f>+'App Log'!P41</f>
        <v>1417843</v>
      </c>
      <c r="AA27" s="7">
        <f t="shared" ref="AA27:AA39" si="3">1-(W27+T27+Z27)/L27</f>
        <v>-4.0031527336656048E-2</v>
      </c>
      <c r="AB27" s="415">
        <f t="shared" ref="AB27:AB39" si="4">RANK(AA27,AA$27:AA$53,0)</f>
        <v>10</v>
      </c>
      <c r="AC27" s="143"/>
      <c r="AD27" s="143"/>
      <c r="AE27" s="150"/>
      <c r="AF27" s="143"/>
      <c r="AG27" s="143"/>
      <c r="AH27" s="146"/>
      <c r="AI27" s="151"/>
      <c r="AJ27" s="144"/>
      <c r="AK27" s="152"/>
      <c r="AL27" s="153"/>
      <c r="AM27" s="153"/>
      <c r="AN27" s="154"/>
      <c r="AO27" s="154"/>
      <c r="AP27" s="146"/>
      <c r="AQ27" s="151"/>
      <c r="AR27" s="144"/>
      <c r="AS27" s="152"/>
      <c r="AT27" s="153"/>
      <c r="AU27" s="153"/>
      <c r="AV27" s="154"/>
      <c r="AW27" s="154"/>
    </row>
    <row r="28" spans="1:50">
      <c r="A28" s="159"/>
      <c r="B28" s="576"/>
      <c r="C28" s="196">
        <v>2</v>
      </c>
      <c r="D28" s="197" t="s">
        <v>8</v>
      </c>
      <c r="E28" s="247">
        <v>528779.18397072703</v>
      </c>
      <c r="F28" s="247"/>
      <c r="G28" s="193">
        <f t="shared" ref="G28:G39" si="5">E28+F28</f>
        <v>528779.18397072703</v>
      </c>
      <c r="H28" s="193">
        <f t="shared" ref="H28:H39" si="6">IF(G28&lt;500000,500000-G28,0)</f>
        <v>0</v>
      </c>
      <c r="I28" s="193">
        <f t="shared" ref="I28:I39" si="7">IF(G28&gt;500000,G28-500000,0)</f>
        <v>28779.183970727026</v>
      </c>
      <c r="J28" s="292">
        <f t="shared" ref="J28:J39" si="8">IF(G28&gt;500000,(G28-500000)/$I$58,0)</f>
        <v>5.4493601759274301E-4</v>
      </c>
      <c r="K28" s="194">
        <f t="shared" ref="K28:K39" si="9">IF(G28&lt;500000,H28,-J28*$H$58)</f>
        <v>-362.06947011788247</v>
      </c>
      <c r="L28" s="448">
        <f t="shared" ref="L28:L39" si="10">G28+K28</f>
        <v>528417.11450060911</v>
      </c>
      <c r="M28" s="296">
        <f t="shared" ref="M28:M39" si="11">L28/$E$61</f>
        <v>6.8959215012280592E-3</v>
      </c>
      <c r="N28" s="195"/>
      <c r="O28" s="412">
        <v>750000</v>
      </c>
      <c r="P28" s="304" t="s">
        <v>138</v>
      </c>
      <c r="Q28" s="305" t="s">
        <v>138</v>
      </c>
      <c r="R28" s="439"/>
      <c r="S28">
        <v>2</v>
      </c>
      <c r="T28" s="132">
        <f>+'App Log'!N58</f>
        <v>0</v>
      </c>
      <c r="U28" s="7">
        <f t="shared" si="0"/>
        <v>1</v>
      </c>
      <c r="V28" s="46">
        <f t="shared" ref="V28:V39" si="12">RANK(U28,U$27:U$39,0)</f>
        <v>1</v>
      </c>
      <c r="W28" s="177"/>
      <c r="X28" s="7">
        <f t="shared" si="1"/>
        <v>1</v>
      </c>
      <c r="Y28" s="46">
        <f t="shared" si="2"/>
        <v>1</v>
      </c>
      <c r="Z28" s="132">
        <f>+'App Log'!P58</f>
        <v>686427</v>
      </c>
      <c r="AA28" s="7">
        <f t="shared" si="3"/>
        <v>-0.29902492020668414</v>
      </c>
      <c r="AB28" s="415">
        <f t="shared" si="4"/>
        <v>14</v>
      </c>
      <c r="AC28" s="143"/>
      <c r="AD28" s="143"/>
      <c r="AE28" s="143"/>
      <c r="AF28" s="143"/>
      <c r="AG28" s="143"/>
      <c r="AH28" s="146"/>
      <c r="AI28" s="151"/>
      <c r="AJ28" s="144"/>
      <c r="AK28" s="152"/>
      <c r="AL28" s="153"/>
      <c r="AM28" s="153"/>
      <c r="AN28" s="154"/>
      <c r="AO28" s="154"/>
      <c r="AP28" s="146"/>
      <c r="AQ28" s="151"/>
      <c r="AR28" s="144"/>
      <c r="AS28" s="152"/>
      <c r="AT28" s="153"/>
      <c r="AU28" s="153"/>
      <c r="AV28" s="154"/>
      <c r="AW28" s="154"/>
    </row>
    <row r="29" spans="1:50">
      <c r="A29" s="159"/>
      <c r="B29" s="576"/>
      <c r="C29" s="196">
        <v>3</v>
      </c>
      <c r="D29" s="197" t="s">
        <v>111</v>
      </c>
      <c r="E29" s="247">
        <v>15494886.920580251</v>
      </c>
      <c r="F29" s="247"/>
      <c r="G29" s="193">
        <f t="shared" si="5"/>
        <v>15494886.920580251</v>
      </c>
      <c r="H29" s="193">
        <f t="shared" si="6"/>
        <v>0</v>
      </c>
      <c r="I29" s="193">
        <f t="shared" si="7"/>
        <v>14994886.920580251</v>
      </c>
      <c r="J29" s="292">
        <f t="shared" si="8"/>
        <v>0.28392931401619886</v>
      </c>
      <c r="K29" s="194">
        <f t="shared" si="9"/>
        <v>-188649.92028038049</v>
      </c>
      <c r="L29" s="448">
        <f>G29+K29+474312</f>
        <v>15780549.000299871</v>
      </c>
      <c r="M29" s="296">
        <f t="shared" si="11"/>
        <v>0.20593849851966783</v>
      </c>
      <c r="N29" s="195"/>
      <c r="O29" s="412">
        <v>1500000</v>
      </c>
      <c r="P29" s="304">
        <v>0.40939999999999999</v>
      </c>
      <c r="Q29" s="306">
        <f>+P29*15306237</f>
        <v>6266373.4277999997</v>
      </c>
      <c r="R29" s="440"/>
      <c r="S29">
        <v>3</v>
      </c>
      <c r="T29" s="132">
        <f>+'App Log'!N99</f>
        <v>14366408</v>
      </c>
      <c r="U29" s="7">
        <f t="shared" si="0"/>
        <v>8.9612915258714954E-2</v>
      </c>
      <c r="V29" s="46">
        <f t="shared" si="12"/>
        <v>10</v>
      </c>
      <c r="W29" s="177"/>
      <c r="X29" s="7">
        <f t="shared" si="1"/>
        <v>8.9612915258714954E-2</v>
      </c>
      <c r="Y29" s="46">
        <f t="shared" si="2"/>
        <v>12</v>
      </c>
      <c r="Z29" s="132">
        <f>+'App Log'!P99</f>
        <v>0</v>
      </c>
      <c r="AA29" s="7">
        <f t="shared" si="3"/>
        <v>8.9612915258714954E-2</v>
      </c>
      <c r="AB29" s="415">
        <f t="shared" si="4"/>
        <v>6</v>
      </c>
      <c r="AC29" s="143"/>
      <c r="AD29" s="143"/>
      <c r="AE29" s="143"/>
      <c r="AF29" s="143"/>
      <c r="AG29" s="143"/>
      <c r="AH29" s="146"/>
      <c r="AI29" s="151"/>
      <c r="AJ29" s="144"/>
      <c r="AK29" s="152"/>
      <c r="AL29" s="153"/>
      <c r="AM29" s="153"/>
      <c r="AN29" s="154"/>
      <c r="AO29" s="154"/>
      <c r="AP29" s="146"/>
      <c r="AQ29" s="151"/>
      <c r="AR29" s="144"/>
      <c r="AS29" s="152"/>
      <c r="AT29" s="153"/>
      <c r="AU29" s="153"/>
      <c r="AV29" s="154"/>
      <c r="AW29" s="154"/>
    </row>
    <row r="30" spans="1:50">
      <c r="A30" s="159"/>
      <c r="B30" s="576"/>
      <c r="C30" s="196">
        <v>4</v>
      </c>
      <c r="D30" s="197" t="s">
        <v>9</v>
      </c>
      <c r="E30" s="247">
        <v>1168749.2957713334</v>
      </c>
      <c r="F30" s="247"/>
      <c r="G30" s="193">
        <f t="shared" si="5"/>
        <v>1168749.2957713334</v>
      </c>
      <c r="H30" s="193">
        <f t="shared" si="6"/>
        <v>0</v>
      </c>
      <c r="I30" s="193">
        <f t="shared" si="7"/>
        <v>668749.29577133339</v>
      </c>
      <c r="J30" s="292">
        <f t="shared" si="8"/>
        <v>1.2662818319527758E-2</v>
      </c>
      <c r="K30" s="194">
        <f t="shared" si="9"/>
        <v>-8413.5013490278925</v>
      </c>
      <c r="L30" s="448">
        <f t="shared" si="10"/>
        <v>1160335.7944223054</v>
      </c>
      <c r="M30" s="296">
        <f t="shared" si="11"/>
        <v>1.5142553739886664E-2</v>
      </c>
      <c r="N30" s="195"/>
      <c r="O30" s="412">
        <v>1500000</v>
      </c>
      <c r="P30" s="304" t="s">
        <v>138</v>
      </c>
      <c r="Q30" s="305" t="s">
        <v>138</v>
      </c>
      <c r="R30" s="439"/>
      <c r="S30">
        <v>4</v>
      </c>
      <c r="T30" s="132">
        <f>+'App Log'!N117</f>
        <v>1130626</v>
      </c>
      <c r="U30" s="7">
        <f t="shared" si="0"/>
        <v>2.5604479811033531E-2</v>
      </c>
      <c r="V30" s="46">
        <f t="shared" si="12"/>
        <v>12</v>
      </c>
      <c r="W30" s="177"/>
      <c r="X30" s="7">
        <f t="shared" si="1"/>
        <v>2.5604479811033531E-2</v>
      </c>
      <c r="Y30" s="46">
        <f t="shared" si="2"/>
        <v>14</v>
      </c>
      <c r="Z30" s="132">
        <f>+'App Log'!P117</f>
        <v>0</v>
      </c>
      <c r="AA30" s="7">
        <f t="shared" si="3"/>
        <v>2.5604479811033531E-2</v>
      </c>
      <c r="AB30" s="415">
        <f t="shared" si="4"/>
        <v>7</v>
      </c>
      <c r="AC30" s="143"/>
      <c r="AD30" s="143"/>
      <c r="AE30" s="143"/>
      <c r="AF30" s="143"/>
      <c r="AG30" s="143"/>
      <c r="AH30" s="146"/>
      <c r="AI30" s="151"/>
      <c r="AJ30" s="144"/>
      <c r="AK30" s="152"/>
      <c r="AL30" s="153"/>
      <c r="AM30" s="153"/>
      <c r="AN30" s="154"/>
      <c r="AO30" s="154"/>
      <c r="AP30" s="146"/>
      <c r="AQ30" s="151"/>
      <c r="AR30" s="144"/>
      <c r="AS30" s="152"/>
      <c r="AT30" s="153"/>
      <c r="AU30" s="153"/>
      <c r="AV30" s="154"/>
      <c r="AW30" s="154"/>
    </row>
    <row r="31" spans="1:50">
      <c r="A31" s="159"/>
      <c r="B31" s="576"/>
      <c r="C31" s="196">
        <v>5</v>
      </c>
      <c r="D31" s="197" t="s">
        <v>10</v>
      </c>
      <c r="E31" s="247">
        <v>820599.50582833856</v>
      </c>
      <c r="F31" s="247"/>
      <c r="G31" s="193">
        <f t="shared" si="5"/>
        <v>820599.50582833856</v>
      </c>
      <c r="H31" s="193">
        <f t="shared" si="6"/>
        <v>0</v>
      </c>
      <c r="I31" s="193">
        <f t="shared" si="7"/>
        <v>320599.50582833856</v>
      </c>
      <c r="J31" s="292">
        <f t="shared" si="8"/>
        <v>6.0705758066663743E-3</v>
      </c>
      <c r="K31" s="194">
        <f t="shared" si="9"/>
        <v>-4033.4463031819278</v>
      </c>
      <c r="L31" s="448">
        <f t="shared" si="10"/>
        <v>816566.05952515663</v>
      </c>
      <c r="M31" s="296">
        <f t="shared" si="11"/>
        <v>1.0656307853265242E-2</v>
      </c>
      <c r="N31" s="195"/>
      <c r="O31" s="412">
        <v>1067319</v>
      </c>
      <c r="P31" s="304" t="s">
        <v>138</v>
      </c>
      <c r="Q31" s="305" t="s">
        <v>138</v>
      </c>
      <c r="R31" s="439"/>
      <c r="S31">
        <v>5</v>
      </c>
      <c r="T31" s="132">
        <f>+'App Log'!N132</f>
        <v>0</v>
      </c>
      <c r="U31" s="7">
        <f t="shared" si="0"/>
        <v>1</v>
      </c>
      <c r="V31" s="46">
        <f t="shared" si="12"/>
        <v>1</v>
      </c>
      <c r="W31" s="177"/>
      <c r="X31" s="7">
        <f t="shared" si="1"/>
        <v>1</v>
      </c>
      <c r="Y31" s="46">
        <f t="shared" si="2"/>
        <v>1</v>
      </c>
      <c r="Z31" s="132">
        <f>+'App Log'!P132</f>
        <v>1067319</v>
      </c>
      <c r="AA31" s="7">
        <f t="shared" si="3"/>
        <v>-0.30708224711257204</v>
      </c>
      <c r="AB31" s="415">
        <f t="shared" si="4"/>
        <v>15</v>
      </c>
      <c r="AC31" s="143"/>
      <c r="AD31" s="143"/>
      <c r="AE31" s="143"/>
      <c r="AF31" s="143"/>
      <c r="AG31" s="143"/>
      <c r="AH31" s="146"/>
      <c r="AI31" s="151"/>
      <c r="AJ31" s="144"/>
      <c r="AK31" s="152"/>
      <c r="AL31" s="153"/>
      <c r="AM31" s="153"/>
      <c r="AN31" s="154"/>
      <c r="AO31" s="154"/>
      <c r="AP31" s="146"/>
      <c r="AQ31" s="151"/>
      <c r="AR31" s="144"/>
      <c r="AS31" s="152"/>
      <c r="AT31" s="153"/>
      <c r="AU31" s="153"/>
      <c r="AV31" s="154"/>
      <c r="AW31" s="154"/>
    </row>
    <row r="32" spans="1:50">
      <c r="A32" s="159"/>
      <c r="B32" s="576"/>
      <c r="C32" s="196">
        <v>6</v>
      </c>
      <c r="D32" s="197" t="s">
        <v>11</v>
      </c>
      <c r="E32" s="247">
        <v>13739500.907358414</v>
      </c>
      <c r="F32" s="247">
        <v>14255</v>
      </c>
      <c r="G32" s="193">
        <f t="shared" si="5"/>
        <v>13753755.907358414</v>
      </c>
      <c r="H32" s="193">
        <f t="shared" si="6"/>
        <v>0</v>
      </c>
      <c r="I32" s="193">
        <f t="shared" si="7"/>
        <v>13253755.907358414</v>
      </c>
      <c r="J32" s="292">
        <f t="shared" si="8"/>
        <v>0.25096086705059312</v>
      </c>
      <c r="K32" s="194">
        <f t="shared" si="9"/>
        <v>-166744.8383293332</v>
      </c>
      <c r="L32" s="448">
        <f>G32+K32</f>
        <v>13587011.06902908</v>
      </c>
      <c r="M32" s="296">
        <f t="shared" si="11"/>
        <v>0.17731250407528817</v>
      </c>
      <c r="N32" s="200"/>
      <c r="O32" s="412">
        <v>1500000</v>
      </c>
      <c r="P32" s="304">
        <v>0.41320000000000001</v>
      </c>
      <c r="Q32" s="306">
        <f>+P32*L32</f>
        <v>5614152.9737228155</v>
      </c>
      <c r="R32" s="440"/>
      <c r="S32">
        <v>6</v>
      </c>
      <c r="T32" s="132">
        <f>+'App Log'!N175</f>
        <v>13244802</v>
      </c>
      <c r="U32" s="7">
        <f t="shared" si="0"/>
        <v>2.5186486364843552E-2</v>
      </c>
      <c r="V32" s="46">
        <f t="shared" si="12"/>
        <v>13</v>
      </c>
      <c r="W32" s="177"/>
      <c r="X32" s="7">
        <f t="shared" si="1"/>
        <v>2.5186486364843552E-2</v>
      </c>
      <c r="Y32" s="46">
        <f t="shared" si="2"/>
        <v>15</v>
      </c>
      <c r="Z32" s="132">
        <f>+'App Log'!P175</f>
        <v>0</v>
      </c>
      <c r="AA32" s="7">
        <f t="shared" si="3"/>
        <v>2.5186486364843552E-2</v>
      </c>
      <c r="AB32" s="415">
        <f t="shared" si="4"/>
        <v>8</v>
      </c>
      <c r="AC32" s="143"/>
      <c r="AD32" s="143"/>
      <c r="AE32" s="143"/>
      <c r="AF32" s="143"/>
      <c r="AG32" s="143"/>
      <c r="AH32" s="146"/>
      <c r="AI32" s="151"/>
      <c r="AJ32" s="144"/>
      <c r="AK32" s="152"/>
      <c r="AL32" s="153"/>
      <c r="AM32" s="153"/>
      <c r="AN32" s="154"/>
      <c r="AO32" s="154"/>
      <c r="AP32" s="146"/>
      <c r="AQ32" s="151"/>
      <c r="AR32" s="144"/>
      <c r="AS32" s="152"/>
      <c r="AT32" s="153"/>
      <c r="AU32" s="153"/>
      <c r="AV32" s="154"/>
      <c r="AW32" s="154"/>
    </row>
    <row r="33" spans="1:49">
      <c r="A33" s="159"/>
      <c r="B33" s="576"/>
      <c r="C33" s="196">
        <v>7</v>
      </c>
      <c r="D33" s="197" t="s">
        <v>112</v>
      </c>
      <c r="E33" s="247">
        <v>4667240.2988650007</v>
      </c>
      <c r="F33" s="247"/>
      <c r="G33" s="193">
        <f t="shared" si="5"/>
        <v>4667240.2988650007</v>
      </c>
      <c r="H33" s="193">
        <f t="shared" si="6"/>
        <v>0</v>
      </c>
      <c r="I33" s="193">
        <f t="shared" si="7"/>
        <v>4167240.2988650007</v>
      </c>
      <c r="J33" s="292">
        <f t="shared" si="8"/>
        <v>7.8907009146796117E-2</v>
      </c>
      <c r="K33" s="194">
        <f t="shared" si="9"/>
        <v>-52427.841192392945</v>
      </c>
      <c r="L33" s="448">
        <f>G33+K33+1194724</f>
        <v>5809536.4576726081</v>
      </c>
      <c r="M33" s="296">
        <f t="shared" si="11"/>
        <v>7.5815310048188561E-2</v>
      </c>
      <c r="N33" s="195"/>
      <c r="O33" s="412">
        <v>1500000</v>
      </c>
      <c r="P33" s="304">
        <v>0.35210000000000002</v>
      </c>
      <c r="Q33" s="306">
        <f>+P33*4614812</f>
        <v>1624875.3052000001</v>
      </c>
      <c r="R33" s="440"/>
      <c r="S33">
        <v>7</v>
      </c>
      <c r="T33" s="132">
        <f>+'App Log'!N196</f>
        <v>5205344</v>
      </c>
      <c r="U33" s="7">
        <f t="shared" si="0"/>
        <v>0.10400011465194536</v>
      </c>
      <c r="V33" s="46">
        <f t="shared" si="12"/>
        <v>7</v>
      </c>
      <c r="W33" s="177"/>
      <c r="X33" s="7">
        <f t="shared" si="1"/>
        <v>0.10400011465194536</v>
      </c>
      <c r="Y33" s="46">
        <f t="shared" si="2"/>
        <v>9</v>
      </c>
      <c r="Z33" s="132">
        <f>+'App Log'!P196</f>
        <v>1500000</v>
      </c>
      <c r="AA33" s="7">
        <f t="shared" si="3"/>
        <v>-0.15419604453024927</v>
      </c>
      <c r="AB33" s="415">
        <f t="shared" si="4"/>
        <v>11</v>
      </c>
      <c r="AC33" s="143"/>
      <c r="AD33" s="143"/>
      <c r="AE33" s="143"/>
      <c r="AF33" s="143"/>
      <c r="AG33" s="143"/>
      <c r="AH33" s="146"/>
      <c r="AI33" s="151"/>
      <c r="AJ33" s="144"/>
      <c r="AK33" s="152"/>
      <c r="AL33" s="153"/>
      <c r="AM33" s="153"/>
      <c r="AN33" s="154"/>
      <c r="AO33" s="154"/>
      <c r="AP33" s="146"/>
      <c r="AQ33" s="151"/>
      <c r="AR33" s="144"/>
      <c r="AS33" s="152"/>
      <c r="AT33" s="153"/>
      <c r="AU33" s="153"/>
      <c r="AV33" s="154"/>
      <c r="AW33" s="154"/>
    </row>
    <row r="34" spans="1:49">
      <c r="A34" s="159"/>
      <c r="B34" s="576"/>
      <c r="C34" s="196">
        <v>8</v>
      </c>
      <c r="D34" s="197" t="s">
        <v>12</v>
      </c>
      <c r="E34" s="247">
        <v>1665318.3835915742</v>
      </c>
      <c r="F34" s="247"/>
      <c r="G34" s="193">
        <f t="shared" si="5"/>
        <v>1665318.3835915742</v>
      </c>
      <c r="H34" s="193">
        <f t="shared" si="6"/>
        <v>0</v>
      </c>
      <c r="I34" s="193">
        <f t="shared" si="7"/>
        <v>1165318.3835915742</v>
      </c>
      <c r="J34" s="292">
        <f t="shared" si="8"/>
        <v>2.2065391424160061E-2</v>
      </c>
      <c r="K34" s="194">
        <f t="shared" si="9"/>
        <v>-14660.812137508628</v>
      </c>
      <c r="L34" s="448">
        <f t="shared" si="10"/>
        <v>1650657.5714540656</v>
      </c>
      <c r="M34" s="296">
        <f t="shared" si="11"/>
        <v>2.154132545254997E-2</v>
      </c>
      <c r="N34" s="195"/>
      <c r="O34" s="412">
        <v>1500000</v>
      </c>
      <c r="P34" s="304" t="s">
        <v>138</v>
      </c>
      <c r="Q34" s="305" t="s">
        <v>138</v>
      </c>
      <c r="R34" s="439"/>
      <c r="S34">
        <v>8</v>
      </c>
      <c r="T34" s="132">
        <f>+'App Log'!N210</f>
        <v>1500000</v>
      </c>
      <c r="U34" s="7">
        <f t="shared" si="0"/>
        <v>9.1271244902327742E-2</v>
      </c>
      <c r="V34" s="46">
        <f t="shared" si="12"/>
        <v>9</v>
      </c>
      <c r="W34" s="177"/>
      <c r="X34" s="7">
        <f t="shared" si="1"/>
        <v>9.1271244902327742E-2</v>
      </c>
      <c r="Y34" s="46">
        <f t="shared" si="2"/>
        <v>11</v>
      </c>
      <c r="Z34" s="132">
        <f>+'App Log'!P210</f>
        <v>0</v>
      </c>
      <c r="AA34" s="7">
        <f t="shared" si="3"/>
        <v>9.1271244902327742E-2</v>
      </c>
      <c r="AB34" s="415">
        <f t="shared" si="4"/>
        <v>5</v>
      </c>
      <c r="AC34" s="143"/>
      <c r="AD34" s="143"/>
      <c r="AE34" s="143"/>
      <c r="AF34" s="143"/>
      <c r="AG34" s="143"/>
      <c r="AH34" s="146"/>
      <c r="AI34" s="151"/>
      <c r="AJ34" s="144"/>
      <c r="AK34" s="152"/>
      <c r="AL34" s="153"/>
      <c r="AM34" s="153"/>
      <c r="AN34" s="154"/>
      <c r="AO34" s="154"/>
      <c r="AP34" s="146"/>
      <c r="AQ34" s="151"/>
      <c r="AR34" s="144"/>
      <c r="AS34" s="152"/>
      <c r="AT34" s="153"/>
      <c r="AU34" s="153"/>
      <c r="AV34" s="154"/>
      <c r="AW34" s="154"/>
    </row>
    <row r="35" spans="1:49">
      <c r="A35" s="159"/>
      <c r="B35" s="576"/>
      <c r="C35" s="196">
        <v>9</v>
      </c>
      <c r="D35" s="197" t="s">
        <v>113</v>
      </c>
      <c r="E35" s="247">
        <v>5504688.0628743703</v>
      </c>
      <c r="F35" s="247"/>
      <c r="G35" s="193">
        <f t="shared" si="5"/>
        <v>5504688.0628743703</v>
      </c>
      <c r="H35" s="193">
        <f t="shared" si="6"/>
        <v>0</v>
      </c>
      <c r="I35" s="193">
        <f t="shared" si="7"/>
        <v>5004688.0628743703</v>
      </c>
      <c r="J35" s="292">
        <f t="shared" si="8"/>
        <v>9.4764145677331463E-2</v>
      </c>
      <c r="K35" s="194">
        <f t="shared" si="9"/>
        <v>-62963.72950926442</v>
      </c>
      <c r="L35" s="448">
        <f t="shared" si="10"/>
        <v>5441724.333365106</v>
      </c>
      <c r="M35" s="296">
        <f t="shared" si="11"/>
        <v>7.1015307423705917E-2</v>
      </c>
      <c r="N35" s="195"/>
      <c r="O35" s="412">
        <v>1500000</v>
      </c>
      <c r="P35" s="304">
        <v>0.45129999999999998</v>
      </c>
      <c r="Q35" s="306">
        <f>+P35*L35</f>
        <v>2455850.1916476721</v>
      </c>
      <c r="R35" s="440"/>
      <c r="S35">
        <v>9</v>
      </c>
      <c r="T35" s="132">
        <f>+'App Log'!N233</f>
        <v>4776298</v>
      </c>
      <c r="U35" s="7">
        <f t="shared" si="0"/>
        <v>0.12228225698335093</v>
      </c>
      <c r="V35" s="46">
        <f t="shared" si="12"/>
        <v>6</v>
      </c>
      <c r="W35" s="177"/>
      <c r="X35" s="7">
        <f t="shared" si="1"/>
        <v>0.12228225698335093</v>
      </c>
      <c r="Y35" s="46">
        <f t="shared" si="2"/>
        <v>8</v>
      </c>
      <c r="Z35" s="132">
        <f>+'App Log'!P233</f>
        <v>0</v>
      </c>
      <c r="AA35" s="7">
        <f t="shared" si="3"/>
        <v>0.12228225698335093</v>
      </c>
      <c r="AB35" s="415">
        <f t="shared" si="4"/>
        <v>3</v>
      </c>
      <c r="AC35" s="143"/>
      <c r="AD35" s="143"/>
      <c r="AE35" s="143"/>
      <c r="AF35" s="143"/>
      <c r="AG35" s="143"/>
      <c r="AH35" s="146"/>
      <c r="AI35" s="151"/>
      <c r="AJ35" s="144"/>
      <c r="AK35" s="152"/>
      <c r="AL35" s="153"/>
      <c r="AM35" s="153"/>
      <c r="AN35" s="154"/>
      <c r="AO35" s="154"/>
      <c r="AP35" s="146"/>
      <c r="AQ35" s="151"/>
      <c r="AR35" s="144"/>
      <c r="AS35" s="152"/>
      <c r="AT35" s="153"/>
      <c r="AU35" s="153"/>
      <c r="AV35" s="154"/>
      <c r="AW35" s="154"/>
    </row>
    <row r="36" spans="1:49">
      <c r="A36" s="159"/>
      <c r="B36" s="576"/>
      <c r="C36" s="196">
        <v>10</v>
      </c>
      <c r="D36" s="197" t="s">
        <v>114</v>
      </c>
      <c r="E36" s="247">
        <v>1494293.7419582396</v>
      </c>
      <c r="F36" s="247"/>
      <c r="G36" s="193">
        <f t="shared" si="5"/>
        <v>1494293.7419582396</v>
      </c>
      <c r="H36" s="193">
        <f t="shared" si="6"/>
        <v>0</v>
      </c>
      <c r="I36" s="193">
        <f t="shared" si="7"/>
        <v>994293.74195823958</v>
      </c>
      <c r="J36" s="292">
        <f t="shared" si="8"/>
        <v>1.882702694458719E-2</v>
      </c>
      <c r="K36" s="194">
        <f t="shared" si="9"/>
        <v>-12509.159698847843</v>
      </c>
      <c r="L36" s="448">
        <f t="shared" si="10"/>
        <v>1481784.5822593917</v>
      </c>
      <c r="M36" s="296">
        <f t="shared" si="11"/>
        <v>1.9337507965932844E-2</v>
      </c>
      <c r="N36" s="195"/>
      <c r="O36" s="412">
        <v>1500000</v>
      </c>
      <c r="P36" s="304" t="s">
        <v>138</v>
      </c>
      <c r="Q36" s="305" t="s">
        <v>138</v>
      </c>
      <c r="R36" s="439"/>
      <c r="S36">
        <v>10</v>
      </c>
      <c r="T36" s="132">
        <f>+'App Log'!N249</f>
        <v>762700</v>
      </c>
      <c r="U36" s="7">
        <f t="shared" si="0"/>
        <v>0.48528280754746933</v>
      </c>
      <c r="V36" s="46">
        <f t="shared" si="12"/>
        <v>4</v>
      </c>
      <c r="W36" s="177"/>
      <c r="X36" s="7">
        <f t="shared" si="1"/>
        <v>0.48528280754746933</v>
      </c>
      <c r="Y36" s="46">
        <f t="shared" si="2"/>
        <v>5</v>
      </c>
      <c r="Z36" s="132">
        <f>+'App Log'!P249</f>
        <v>1291158</v>
      </c>
      <c r="AA36" s="7">
        <f t="shared" si="3"/>
        <v>-0.38607056962917219</v>
      </c>
      <c r="AB36" s="415">
        <f t="shared" si="4"/>
        <v>17</v>
      </c>
      <c r="AC36" s="143"/>
      <c r="AD36" s="143"/>
      <c r="AE36" s="143"/>
      <c r="AF36" s="143"/>
      <c r="AG36" s="143"/>
      <c r="AH36" s="146"/>
      <c r="AI36" s="151"/>
      <c r="AJ36" s="144"/>
      <c r="AK36" s="152"/>
      <c r="AL36" s="153"/>
      <c r="AM36" s="153"/>
      <c r="AN36" s="154"/>
      <c r="AO36" s="154"/>
      <c r="AP36" s="146"/>
      <c r="AQ36" s="151"/>
      <c r="AR36" s="144"/>
      <c r="AS36" s="152"/>
      <c r="AT36" s="153"/>
      <c r="AU36" s="153"/>
      <c r="AV36" s="154"/>
      <c r="AW36" s="154"/>
    </row>
    <row r="37" spans="1:49">
      <c r="A37" s="159"/>
      <c r="B37" s="576"/>
      <c r="C37" s="196">
        <v>11</v>
      </c>
      <c r="D37" s="197" t="s">
        <v>13</v>
      </c>
      <c r="E37" s="247">
        <v>6274867.242185168</v>
      </c>
      <c r="F37" s="247"/>
      <c r="G37" s="193">
        <f t="shared" si="5"/>
        <v>6274867.242185168</v>
      </c>
      <c r="H37" s="193">
        <f t="shared" si="6"/>
        <v>0</v>
      </c>
      <c r="I37" s="193">
        <f t="shared" si="7"/>
        <v>5774867.242185168</v>
      </c>
      <c r="J37" s="292">
        <f t="shared" si="8"/>
        <v>0.10934754648651955</v>
      </c>
      <c r="K37" s="194">
        <f t="shared" si="9"/>
        <v>-72653.315135894038</v>
      </c>
      <c r="L37" s="448">
        <f t="shared" si="10"/>
        <v>6202213.9270492736</v>
      </c>
      <c r="M37" s="296">
        <f t="shared" si="11"/>
        <v>8.0939809103601434E-2</v>
      </c>
      <c r="N37" s="195"/>
      <c r="O37" s="412">
        <v>1500000</v>
      </c>
      <c r="P37" s="304" t="s">
        <v>138</v>
      </c>
      <c r="Q37" s="305" t="s">
        <v>138</v>
      </c>
      <c r="R37" s="439"/>
      <c r="S37">
        <v>11</v>
      </c>
      <c r="T37" s="132">
        <f>+'App Log'!N277</f>
        <v>5815170</v>
      </c>
      <c r="U37" s="7">
        <f t="shared" si="0"/>
        <v>6.2404156258023646E-2</v>
      </c>
      <c r="V37" s="46">
        <f t="shared" si="12"/>
        <v>11</v>
      </c>
      <c r="W37" s="177"/>
      <c r="X37" s="7">
        <f t="shared" si="1"/>
        <v>6.2404156258023646E-2</v>
      </c>
      <c r="Y37" s="46">
        <f t="shared" si="2"/>
        <v>13</v>
      </c>
      <c r="Z37" s="132">
        <f>+'App Log'!P277</f>
        <v>1500000</v>
      </c>
      <c r="AA37" s="7">
        <f t="shared" si="3"/>
        <v>-0.17944496691687317</v>
      </c>
      <c r="AB37" s="415">
        <f t="shared" si="4"/>
        <v>12</v>
      </c>
      <c r="AC37" s="143"/>
      <c r="AD37" s="143"/>
      <c r="AE37" s="143"/>
      <c r="AF37" s="143"/>
      <c r="AG37" s="143"/>
      <c r="AH37" s="146"/>
      <c r="AI37" s="151"/>
      <c r="AJ37" s="144"/>
      <c r="AK37" s="152"/>
      <c r="AL37" s="153"/>
      <c r="AM37" s="153"/>
      <c r="AN37" s="154"/>
      <c r="AO37" s="154"/>
      <c r="AP37" s="146"/>
      <c r="AQ37" s="151"/>
      <c r="AR37" s="144"/>
      <c r="AS37" s="152"/>
      <c r="AT37" s="153"/>
      <c r="AU37" s="153"/>
      <c r="AV37" s="154"/>
      <c r="AW37" s="154"/>
    </row>
    <row r="38" spans="1:49">
      <c r="A38" s="159"/>
      <c r="B38" s="576"/>
      <c r="C38" s="196">
        <v>12</v>
      </c>
      <c r="D38" s="197" t="s">
        <v>115</v>
      </c>
      <c r="E38" s="247">
        <v>973262.33103642962</v>
      </c>
      <c r="F38" s="247"/>
      <c r="G38" s="193">
        <f>E38+F38</f>
        <v>973262.33103642962</v>
      </c>
      <c r="H38" s="193">
        <f t="shared" si="6"/>
        <v>0</v>
      </c>
      <c r="I38" s="193">
        <f t="shared" si="7"/>
        <v>473262.33103642962</v>
      </c>
      <c r="J38" s="292">
        <f t="shared" si="8"/>
        <v>8.9612579082844392E-3</v>
      </c>
      <c r="K38" s="194">
        <f t="shared" si="9"/>
        <v>-5954.0896503322629</v>
      </c>
      <c r="L38" s="448">
        <f>G38+K38+853071</f>
        <v>1820379.2413860974</v>
      </c>
      <c r="M38" s="296">
        <f t="shared" si="11"/>
        <v>2.3756218348316087E-2</v>
      </c>
      <c r="N38" s="195"/>
      <c r="O38" s="412">
        <v>1262934</v>
      </c>
      <c r="P38" s="304" t="s">
        <v>138</v>
      </c>
      <c r="Q38" s="305" t="s">
        <v>138</v>
      </c>
      <c r="R38" s="439"/>
      <c r="S38">
        <v>12</v>
      </c>
      <c r="T38" s="132">
        <f>+'App Log'!N295</f>
        <v>1631771</v>
      </c>
      <c r="U38" s="7">
        <f t="shared" si="0"/>
        <v>0.10360931233344806</v>
      </c>
      <c r="V38" s="46">
        <f t="shared" si="12"/>
        <v>8</v>
      </c>
      <c r="W38" s="177"/>
      <c r="X38" s="7">
        <f t="shared" si="1"/>
        <v>0.10360931233344806</v>
      </c>
      <c r="Y38" s="46">
        <f t="shared" si="2"/>
        <v>10</v>
      </c>
      <c r="Z38" s="132">
        <f>+'App Log'!P295</f>
        <v>0</v>
      </c>
      <c r="AA38" s="7">
        <f t="shared" si="3"/>
        <v>0.10360931233344806</v>
      </c>
      <c r="AB38" s="415">
        <f t="shared" si="4"/>
        <v>4</v>
      </c>
      <c r="AC38" s="143"/>
      <c r="AD38" s="143"/>
      <c r="AE38" s="143"/>
      <c r="AF38" s="143"/>
      <c r="AG38" s="143"/>
      <c r="AH38" s="146"/>
      <c r="AI38" s="151"/>
      <c r="AJ38" s="144"/>
      <c r="AK38" s="152"/>
      <c r="AL38" s="153"/>
      <c r="AM38" s="153"/>
      <c r="AN38" s="154"/>
      <c r="AO38" s="154"/>
      <c r="AP38" s="146"/>
      <c r="AQ38" s="151"/>
      <c r="AR38" s="144"/>
      <c r="AS38" s="152"/>
      <c r="AT38" s="153"/>
      <c r="AU38" s="153"/>
      <c r="AV38" s="154"/>
      <c r="AW38" s="154"/>
    </row>
    <row r="39" spans="1:49" ht="15.75" thickBot="1">
      <c r="A39" s="159"/>
      <c r="B39" s="577"/>
      <c r="C39" s="201">
        <v>13</v>
      </c>
      <c r="D39" s="202" t="s">
        <v>116</v>
      </c>
      <c r="E39" s="248">
        <v>2711444.9977850374</v>
      </c>
      <c r="F39" s="248"/>
      <c r="G39" s="250">
        <f t="shared" si="5"/>
        <v>2711444.9977850374</v>
      </c>
      <c r="H39" s="250">
        <f t="shared" si="6"/>
        <v>0</v>
      </c>
      <c r="I39" s="250">
        <f t="shared" si="7"/>
        <v>2211444.9977850374</v>
      </c>
      <c r="J39" s="293">
        <f t="shared" si="8"/>
        <v>4.1873877711200692E-2</v>
      </c>
      <c r="K39" s="251">
        <f t="shared" si="9"/>
        <v>-27822.078602273967</v>
      </c>
      <c r="L39" s="449">
        <f t="shared" si="10"/>
        <v>2683622.9191827634</v>
      </c>
      <c r="M39" s="296">
        <f t="shared" si="11"/>
        <v>3.5021676024006784E-2</v>
      </c>
      <c r="N39" s="195"/>
      <c r="O39" s="413">
        <v>1500000</v>
      </c>
      <c r="P39" s="307" t="s">
        <v>138</v>
      </c>
      <c r="Q39" s="308" t="s">
        <v>138</v>
      </c>
      <c r="R39" s="439"/>
      <c r="S39">
        <v>13</v>
      </c>
      <c r="T39" s="132">
        <f>+'App Log'!N313</f>
        <v>2312900</v>
      </c>
      <c r="U39" s="7">
        <f t="shared" si="0"/>
        <v>0.1381427012464399</v>
      </c>
      <c r="V39" s="46">
        <f t="shared" si="12"/>
        <v>5</v>
      </c>
      <c r="W39" s="179"/>
      <c r="X39" s="7">
        <f t="shared" si="1"/>
        <v>0.1381427012464399</v>
      </c>
      <c r="Y39" s="46">
        <f t="shared" si="2"/>
        <v>6</v>
      </c>
      <c r="Z39" s="132">
        <f>+'App Log'!P313</f>
        <v>1163300</v>
      </c>
      <c r="AA39" s="7">
        <f t="shared" si="3"/>
        <v>-0.29533846769299399</v>
      </c>
      <c r="AB39" s="415">
        <f t="shared" si="4"/>
        <v>13</v>
      </c>
      <c r="AC39" s="143"/>
      <c r="AD39" s="143"/>
      <c r="AE39" s="143"/>
      <c r="AF39" s="143"/>
      <c r="AG39" s="143"/>
      <c r="AH39" s="146"/>
      <c r="AI39" s="151"/>
      <c r="AJ39" s="144"/>
      <c r="AK39" s="152"/>
      <c r="AL39" s="153"/>
      <c r="AM39" s="153"/>
      <c r="AN39" s="154"/>
      <c r="AO39" s="154"/>
      <c r="AP39" s="146"/>
      <c r="AQ39" s="151"/>
      <c r="AR39" s="144"/>
      <c r="AS39" s="152"/>
      <c r="AT39" s="153"/>
      <c r="AU39" s="153"/>
      <c r="AV39" s="154"/>
      <c r="AW39" s="154"/>
    </row>
    <row r="40" spans="1:49" ht="15.75" thickBot="1">
      <c r="A40" s="35"/>
      <c r="B40" s="166"/>
      <c r="C40" s="206"/>
      <c r="D40" s="207"/>
      <c r="E40" s="208"/>
      <c r="F40" s="208"/>
      <c r="G40" s="208"/>
      <c r="H40" s="208"/>
      <c r="I40" s="208"/>
      <c r="J40" s="209"/>
      <c r="K40" s="210"/>
      <c r="L40" s="300"/>
      <c r="M40" s="211"/>
      <c r="N40" s="195"/>
      <c r="O40" s="414"/>
      <c r="P40" s="300"/>
      <c r="Q40" s="300"/>
      <c r="R40" s="300"/>
      <c r="T40" s="4"/>
      <c r="U40" s="8"/>
      <c r="V40" s="47"/>
      <c r="W40" s="4"/>
      <c r="X40" s="8"/>
      <c r="Y40" s="47"/>
      <c r="Z40" s="133"/>
      <c r="AA40" s="8"/>
      <c r="AB40" s="346"/>
      <c r="AC40" s="143"/>
      <c r="AD40" s="143"/>
      <c r="AE40" s="143"/>
      <c r="AF40" s="143"/>
      <c r="AG40" s="143"/>
      <c r="AH40" s="146"/>
      <c r="AI40" s="147"/>
      <c r="AJ40" s="147"/>
      <c r="AK40" s="147"/>
      <c r="AL40" s="147"/>
      <c r="AM40" s="147"/>
      <c r="AN40" s="155"/>
      <c r="AO40" s="155"/>
      <c r="AP40" s="146"/>
      <c r="AQ40" s="147"/>
      <c r="AR40" s="147"/>
      <c r="AS40" s="147"/>
      <c r="AT40" s="147"/>
      <c r="AU40" s="147"/>
      <c r="AV40" s="155"/>
      <c r="AW40" s="155"/>
    </row>
    <row r="41" spans="1:49" ht="15" customHeight="1">
      <c r="A41" s="159"/>
      <c r="B41" s="575" t="s">
        <v>6</v>
      </c>
      <c r="C41" s="212">
        <v>1</v>
      </c>
      <c r="D41" s="213" t="s">
        <v>7</v>
      </c>
      <c r="E41" s="249">
        <v>765260.10076397378</v>
      </c>
      <c r="F41" s="249"/>
      <c r="G41" s="214">
        <f t="shared" ref="G41:G53" si="13">E41+F41</f>
        <v>765260.10076397378</v>
      </c>
      <c r="H41" s="214">
        <f t="shared" ref="H41:H53" si="14">IF(G41&lt;500000,500000-G41,0)</f>
        <v>0</v>
      </c>
      <c r="I41" s="214">
        <f t="shared" ref="I41:I53" si="15">IF(G41&gt;500000,G41-500000,0)</f>
        <v>265260.10076397378</v>
      </c>
      <c r="J41" s="291">
        <f t="shared" ref="J41:J53" si="16">IF(G41&gt;500000,(G41-500000)/$I$58,0)</f>
        <v>5.0227200008033423E-3</v>
      </c>
      <c r="K41" s="216">
        <f t="shared" ref="K41:K53" si="17">IF(G41&lt;500000,H41,-J41*$H$58)</f>
        <v>-3337.2240236109046</v>
      </c>
      <c r="L41" s="447">
        <f t="shared" ref="L41:L53" si="18">G41+K41</f>
        <v>761922.87674036284</v>
      </c>
      <c r="M41" s="296">
        <f>L41/$E$61</f>
        <v>9.9432062357725694E-3</v>
      </c>
      <c r="N41" s="195"/>
      <c r="O41" s="411">
        <v>996409</v>
      </c>
      <c r="P41" s="300"/>
      <c r="Q41" s="300"/>
      <c r="R41" s="300"/>
      <c r="S41">
        <v>1</v>
      </c>
      <c r="T41" s="132">
        <f>+'App Log'!N32</f>
        <v>642500</v>
      </c>
      <c r="U41" s="7">
        <f t="shared" ref="U41:U53" si="19">1-T41/L41</f>
        <v>0.15673879914365407</v>
      </c>
      <c r="V41" s="46">
        <f>RANK(U41,U$41:U$53,0)</f>
        <v>7</v>
      </c>
      <c r="W41" s="134">
        <f>+'App Log'!O32</f>
        <v>777900</v>
      </c>
      <c r="X41" s="7">
        <f t="shared" ref="X41:X53" si="20">1-(W41+T41)/L41</f>
        <v>-0.86423067657020036</v>
      </c>
      <c r="Y41" s="46">
        <f t="shared" ref="Y41:Y53" si="21">RANK(X41,X$27:X$53,0)</f>
        <v>24</v>
      </c>
      <c r="Z41" s="132">
        <f>'App Log'!P32</f>
        <v>0</v>
      </c>
      <c r="AA41" s="7">
        <f t="shared" ref="AA41:AA53" si="22">1-(W41+T41+Z41)/L41</f>
        <v>-0.86423067657020036</v>
      </c>
      <c r="AB41" s="415">
        <f t="shared" ref="AB41:AB53" si="23">RANK(AA41,AA$27:AA$53,0)</f>
        <v>24</v>
      </c>
      <c r="AC41" s="143"/>
      <c r="AD41" s="143"/>
      <c r="AE41" s="143"/>
      <c r="AF41" s="143"/>
      <c r="AG41" s="143"/>
      <c r="AH41" s="146"/>
      <c r="AI41" s="151"/>
      <c r="AJ41" s="144"/>
      <c r="AK41" s="152"/>
      <c r="AL41" s="153"/>
      <c r="AM41" s="153"/>
      <c r="AN41" s="154"/>
      <c r="AO41" s="154"/>
      <c r="AP41" s="146"/>
      <c r="AQ41" s="151"/>
      <c r="AR41" s="144"/>
      <c r="AS41" s="152"/>
      <c r="AT41" s="153"/>
      <c r="AU41" s="153"/>
      <c r="AV41" s="154"/>
      <c r="AW41" s="154"/>
    </row>
    <row r="42" spans="1:49">
      <c r="A42" s="159"/>
      <c r="B42" s="576"/>
      <c r="C42" s="196">
        <v>2</v>
      </c>
      <c r="D42" s="197" t="s">
        <v>8</v>
      </c>
      <c r="E42" s="247">
        <v>554696.92255579808</v>
      </c>
      <c r="F42" s="247"/>
      <c r="G42" s="193">
        <f t="shared" si="13"/>
        <v>554696.92255579808</v>
      </c>
      <c r="H42" s="193">
        <f t="shared" si="14"/>
        <v>0</v>
      </c>
      <c r="I42" s="193">
        <f t="shared" si="15"/>
        <v>54696.922555798083</v>
      </c>
      <c r="J42" s="292">
        <f t="shared" si="16"/>
        <v>1.0356903511389698E-3</v>
      </c>
      <c r="K42" s="194">
        <f t="shared" si="17"/>
        <v>-688.13923935440801</v>
      </c>
      <c r="L42" s="448">
        <f t="shared" si="18"/>
        <v>554008.78331644367</v>
      </c>
      <c r="M42" s="296">
        <f t="shared" ref="M42:M53" si="24">L42/$E$61</f>
        <v>7.229896564481272E-3</v>
      </c>
      <c r="N42" s="195"/>
      <c r="O42" s="412">
        <v>750000</v>
      </c>
      <c r="P42" s="300"/>
      <c r="Q42" s="300"/>
      <c r="R42" s="300"/>
      <c r="S42">
        <v>2</v>
      </c>
      <c r="T42" s="132">
        <f>+'App Log'!N51</f>
        <v>500000</v>
      </c>
      <c r="U42" s="7">
        <f t="shared" si="19"/>
        <v>9.7487232951674052E-2</v>
      </c>
      <c r="V42" s="46">
        <f t="shared" ref="V42:V53" si="25">RANK(U42,U$41:U$53,0)</f>
        <v>11</v>
      </c>
      <c r="W42" s="134">
        <f>+'App Log'!O51</f>
        <v>500000</v>
      </c>
      <c r="X42" s="7">
        <f t="shared" si="20"/>
        <v>-0.8050255340966519</v>
      </c>
      <c r="Y42" s="46">
        <f t="shared" si="21"/>
        <v>23</v>
      </c>
      <c r="Z42" s="132">
        <f>+'App Log'!P51</f>
        <v>0</v>
      </c>
      <c r="AA42" s="7">
        <f t="shared" si="22"/>
        <v>-0.8050255340966519</v>
      </c>
      <c r="AB42" s="415">
        <f t="shared" si="23"/>
        <v>23</v>
      </c>
      <c r="AC42" s="143"/>
      <c r="AD42" s="143"/>
      <c r="AE42" s="143"/>
      <c r="AF42" s="143"/>
      <c r="AG42" s="143"/>
      <c r="AH42" s="146"/>
      <c r="AI42" s="151"/>
      <c r="AJ42" s="144"/>
      <c r="AK42" s="152"/>
      <c r="AL42" s="153"/>
      <c r="AM42" s="153"/>
      <c r="AN42" s="154"/>
      <c r="AO42" s="154"/>
      <c r="AP42" s="146"/>
      <c r="AQ42" s="151"/>
      <c r="AR42" s="144"/>
      <c r="AS42" s="152"/>
      <c r="AT42" s="153"/>
      <c r="AU42" s="153"/>
      <c r="AV42" s="154"/>
      <c r="AW42" s="154"/>
    </row>
    <row r="43" spans="1:49">
      <c r="A43" s="159"/>
      <c r="B43" s="576"/>
      <c r="C43" s="196">
        <v>3</v>
      </c>
      <c r="D43" s="197" t="s">
        <v>111</v>
      </c>
      <c r="E43" s="247">
        <v>655576.29319588118</v>
      </c>
      <c r="F43" s="247"/>
      <c r="G43" s="193">
        <f t="shared" si="13"/>
        <v>655576.29319588118</v>
      </c>
      <c r="H43" s="193">
        <f t="shared" si="14"/>
        <v>0</v>
      </c>
      <c r="I43" s="193">
        <f t="shared" si="15"/>
        <v>155576.29319588118</v>
      </c>
      <c r="J43" s="292">
        <f t="shared" si="16"/>
        <v>2.9458488375569717E-3</v>
      </c>
      <c r="K43" s="194">
        <f t="shared" si="17"/>
        <v>-1957.2975417799526</v>
      </c>
      <c r="L43" s="448">
        <f t="shared" si="18"/>
        <v>653618.99565410125</v>
      </c>
      <c r="M43" s="296">
        <f t="shared" si="24"/>
        <v>8.5298245686117168E-3</v>
      </c>
      <c r="N43" s="195"/>
      <c r="O43" s="412">
        <v>855865</v>
      </c>
      <c r="P43" s="300"/>
      <c r="Q43" s="300"/>
      <c r="R43" s="300"/>
      <c r="S43">
        <v>3</v>
      </c>
      <c r="T43" s="132">
        <f>+'App Log'!N67</f>
        <v>570000</v>
      </c>
      <c r="U43" s="7">
        <f t="shared" si="19"/>
        <v>0.12793232175025848</v>
      </c>
      <c r="V43" s="46">
        <f t="shared" si="25"/>
        <v>9</v>
      </c>
      <c r="W43" s="134">
        <f>+'App Log'!O67</f>
        <v>833805</v>
      </c>
      <c r="X43" s="7">
        <f t="shared" si="20"/>
        <v>-1.1477420474831201</v>
      </c>
      <c r="Y43" s="46">
        <f t="shared" si="21"/>
        <v>26</v>
      </c>
      <c r="Z43" s="132">
        <f>+'App Log'!P67</f>
        <v>0</v>
      </c>
      <c r="AA43" s="7">
        <f t="shared" si="22"/>
        <v>-1.1477420474831201</v>
      </c>
      <c r="AB43" s="415">
        <f t="shared" si="23"/>
        <v>26</v>
      </c>
      <c r="AC43" s="271"/>
      <c r="AD43" s="143"/>
      <c r="AE43" s="143"/>
      <c r="AF43" s="143"/>
      <c r="AG43" s="143"/>
      <c r="AH43" s="146"/>
      <c r="AI43" s="151"/>
      <c r="AJ43" s="144"/>
      <c r="AK43" s="152"/>
      <c r="AL43" s="153"/>
      <c r="AM43" s="153"/>
      <c r="AN43" s="154"/>
      <c r="AO43" s="154"/>
      <c r="AP43" s="146"/>
      <c r="AQ43" s="151"/>
      <c r="AR43" s="144"/>
      <c r="AS43" s="152"/>
      <c r="AT43" s="153"/>
      <c r="AU43" s="153"/>
      <c r="AV43" s="154"/>
      <c r="AW43" s="154"/>
    </row>
    <row r="44" spans="1:49">
      <c r="A44" s="159"/>
      <c r="B44" s="576"/>
      <c r="C44" s="196">
        <v>4</v>
      </c>
      <c r="D44" s="197" t="s">
        <v>9</v>
      </c>
      <c r="E44" s="247">
        <v>1664977.5858868295</v>
      </c>
      <c r="F44" s="247"/>
      <c r="G44" s="193">
        <f t="shared" si="13"/>
        <v>1664977.5858868295</v>
      </c>
      <c r="H44" s="193">
        <f t="shared" si="14"/>
        <v>0</v>
      </c>
      <c r="I44" s="193">
        <f t="shared" si="15"/>
        <v>1164977.5858868295</v>
      </c>
      <c r="J44" s="292">
        <f t="shared" si="16"/>
        <v>2.2058938393934562E-2</v>
      </c>
      <c r="K44" s="194">
        <f t="shared" si="17"/>
        <v>-14656.52457867792</v>
      </c>
      <c r="L44" s="448">
        <f t="shared" si="18"/>
        <v>1650321.0613081516</v>
      </c>
      <c r="M44" s="296">
        <f t="shared" si="24"/>
        <v>2.1536933945373329E-2</v>
      </c>
      <c r="N44" s="195"/>
      <c r="O44" s="412">
        <v>1500000</v>
      </c>
      <c r="P44" s="300"/>
      <c r="Q44" s="300"/>
      <c r="R44" s="300"/>
      <c r="S44">
        <v>4</v>
      </c>
      <c r="T44" s="132">
        <f>+'App Log'!N108</f>
        <v>662332</v>
      </c>
      <c r="U44" s="7">
        <f t="shared" si="19"/>
        <v>0.59866475952564491</v>
      </c>
      <c r="V44" s="46">
        <f t="shared" si="25"/>
        <v>5</v>
      </c>
      <c r="W44" s="134">
        <f>+'App Log'!O108</f>
        <v>0</v>
      </c>
      <c r="X44" s="7">
        <f t="shared" si="20"/>
        <v>0.59866475952564491</v>
      </c>
      <c r="Y44" s="46">
        <f t="shared" si="21"/>
        <v>4</v>
      </c>
      <c r="Z44" s="132">
        <f>+'App Log'!P108</f>
        <v>0</v>
      </c>
      <c r="AA44" s="7">
        <f t="shared" si="22"/>
        <v>0.59866475952564491</v>
      </c>
      <c r="AB44" s="415">
        <f t="shared" si="23"/>
        <v>1</v>
      </c>
      <c r="AC44" s="143"/>
      <c r="AD44" s="143"/>
      <c r="AE44" s="143"/>
      <c r="AF44" s="143" t="s">
        <v>141</v>
      </c>
      <c r="AG44" s="143"/>
      <c r="AH44" s="146"/>
      <c r="AI44" s="151"/>
      <c r="AJ44" s="144"/>
      <c r="AK44" s="152"/>
      <c r="AL44" s="153"/>
      <c r="AM44" s="153"/>
      <c r="AN44" s="154"/>
      <c r="AO44" s="154"/>
      <c r="AP44" s="146"/>
      <c r="AQ44" s="151"/>
      <c r="AR44" s="144"/>
      <c r="AS44" s="152"/>
      <c r="AT44" s="153"/>
      <c r="AU44" s="153"/>
      <c r="AV44" s="154"/>
      <c r="AW44" s="154"/>
    </row>
    <row r="45" spans="1:49">
      <c r="A45" s="159"/>
      <c r="B45" s="576"/>
      <c r="C45" s="196">
        <v>5</v>
      </c>
      <c r="D45" s="197" t="s">
        <v>10</v>
      </c>
      <c r="E45" s="247">
        <v>1019689.0755798188</v>
      </c>
      <c r="F45" s="247"/>
      <c r="G45" s="193">
        <f t="shared" si="13"/>
        <v>1019689.0755798188</v>
      </c>
      <c r="H45" s="193">
        <f t="shared" si="14"/>
        <v>0</v>
      </c>
      <c r="I45" s="193">
        <f t="shared" si="15"/>
        <v>519689.0755798188</v>
      </c>
      <c r="J45" s="292">
        <f t="shared" si="16"/>
        <v>9.8403518154294035E-3</v>
      </c>
      <c r="K45" s="194">
        <f t="shared" si="17"/>
        <v>-6538.1821949027189</v>
      </c>
      <c r="L45" s="448">
        <f t="shared" si="18"/>
        <v>1013150.8933849161</v>
      </c>
      <c r="M45" s="296">
        <f t="shared" si="24"/>
        <v>1.322176901155878E-2</v>
      </c>
      <c r="N45" s="195"/>
      <c r="O45" s="412">
        <v>1322423</v>
      </c>
      <c r="P45" s="300"/>
      <c r="Q45" s="300"/>
      <c r="R45" s="300"/>
      <c r="S45">
        <v>5</v>
      </c>
      <c r="T45" s="132">
        <f>+'App Log'!N125</f>
        <v>848813</v>
      </c>
      <c r="U45" s="7">
        <f t="shared" si="19"/>
        <v>0.16220475593311345</v>
      </c>
      <c r="V45" s="46">
        <f t="shared" si="25"/>
        <v>6</v>
      </c>
      <c r="W45" s="134">
        <f>+'App Log'!O125</f>
        <v>979220</v>
      </c>
      <c r="X45" s="7">
        <f t="shared" si="20"/>
        <v>-0.80430478020167318</v>
      </c>
      <c r="Y45" s="46">
        <f t="shared" si="21"/>
        <v>22</v>
      </c>
      <c r="Z45" s="132">
        <f>+'App Log'!P125</f>
        <v>0</v>
      </c>
      <c r="AA45" s="7">
        <f t="shared" si="22"/>
        <v>-0.80430478020167318</v>
      </c>
      <c r="AB45" s="415">
        <f t="shared" si="23"/>
        <v>22</v>
      </c>
      <c r="AC45" s="143"/>
      <c r="AD45" s="143"/>
      <c r="AE45" s="143"/>
      <c r="AF45" s="145"/>
      <c r="AG45" s="143"/>
      <c r="AH45" s="146"/>
      <c r="AI45" s="151"/>
      <c r="AJ45" s="144"/>
      <c r="AK45" s="152"/>
      <c r="AL45" s="153"/>
      <c r="AM45" s="153"/>
      <c r="AN45" s="154"/>
      <c r="AO45" s="154"/>
      <c r="AP45" s="146"/>
      <c r="AQ45" s="151"/>
      <c r="AR45" s="144"/>
      <c r="AS45" s="152"/>
      <c r="AT45" s="153"/>
      <c r="AU45" s="153"/>
      <c r="AV45" s="154"/>
      <c r="AW45" s="154"/>
    </row>
    <row r="46" spans="1:49">
      <c r="A46" s="159"/>
      <c r="B46" s="576"/>
      <c r="C46" s="196">
        <v>6</v>
      </c>
      <c r="D46" s="197" t="s">
        <v>11</v>
      </c>
      <c r="E46" s="247">
        <v>453006.3061523526</v>
      </c>
      <c r="F46" s="247"/>
      <c r="G46" s="193">
        <f t="shared" si="13"/>
        <v>453006.3061523526</v>
      </c>
      <c r="H46" s="193">
        <f t="shared" si="14"/>
        <v>46993.693847647402</v>
      </c>
      <c r="I46" s="193">
        <f t="shared" si="15"/>
        <v>0</v>
      </c>
      <c r="J46" s="292">
        <f t="shared" si="16"/>
        <v>0</v>
      </c>
      <c r="K46" s="194">
        <f t="shared" si="17"/>
        <v>46993.693847647402</v>
      </c>
      <c r="L46" s="448">
        <f t="shared" si="18"/>
        <v>500000</v>
      </c>
      <c r="M46" s="296">
        <f t="shared" si="24"/>
        <v>6.5250739538831783E-3</v>
      </c>
      <c r="N46" s="195"/>
      <c r="O46" s="412">
        <v>750000</v>
      </c>
      <c r="P46" s="300"/>
      <c r="Q46" s="300"/>
      <c r="R46" s="300"/>
      <c r="S46">
        <v>6</v>
      </c>
      <c r="T46" s="132">
        <f>+'App Log'!N140</f>
        <v>0</v>
      </c>
      <c r="U46" s="7">
        <f t="shared" si="19"/>
        <v>1</v>
      </c>
      <c r="V46" s="46">
        <f t="shared" si="25"/>
        <v>1</v>
      </c>
      <c r="W46" s="134">
        <f>+'App Log'!O140</f>
        <v>750000</v>
      </c>
      <c r="X46" s="7">
        <f t="shared" si="20"/>
        <v>-0.5</v>
      </c>
      <c r="Y46" s="46">
        <f t="shared" si="21"/>
        <v>19</v>
      </c>
      <c r="Z46" s="132">
        <f>+'App Log'!P140</f>
        <v>0</v>
      </c>
      <c r="AA46" s="7">
        <f t="shared" si="22"/>
        <v>-0.5</v>
      </c>
      <c r="AB46" s="415">
        <f t="shared" si="23"/>
        <v>19</v>
      </c>
      <c r="AC46" s="143"/>
      <c r="AD46" s="143"/>
      <c r="AE46" s="143"/>
      <c r="AF46" s="143"/>
      <c r="AG46" s="143"/>
      <c r="AH46" s="146"/>
      <c r="AI46" s="151"/>
      <c r="AJ46" s="144"/>
      <c r="AK46" s="152"/>
      <c r="AL46" s="153"/>
      <c r="AM46" s="153"/>
      <c r="AN46" s="154"/>
      <c r="AO46" s="154"/>
      <c r="AP46" s="146"/>
      <c r="AQ46" s="151"/>
      <c r="AR46" s="144"/>
      <c r="AS46" s="152"/>
      <c r="AT46" s="153"/>
      <c r="AU46" s="153"/>
      <c r="AV46" s="154"/>
      <c r="AW46" s="154"/>
    </row>
    <row r="47" spans="1:49">
      <c r="A47" s="159"/>
      <c r="B47" s="576"/>
      <c r="C47" s="196">
        <v>7</v>
      </c>
      <c r="D47" s="197" t="s">
        <v>112</v>
      </c>
      <c r="E47" s="247">
        <v>399324.10638999159</v>
      </c>
      <c r="F47" s="247"/>
      <c r="G47" s="193">
        <f t="shared" si="13"/>
        <v>399324.10638999159</v>
      </c>
      <c r="H47" s="193">
        <f t="shared" si="14"/>
        <v>100675.89361000841</v>
      </c>
      <c r="I47" s="193">
        <f t="shared" si="15"/>
        <v>0</v>
      </c>
      <c r="J47" s="292">
        <f t="shared" si="16"/>
        <v>0</v>
      </c>
      <c r="K47" s="194">
        <f t="shared" si="17"/>
        <v>100675.89361000841</v>
      </c>
      <c r="L47" s="448">
        <f t="shared" si="18"/>
        <v>500000</v>
      </c>
      <c r="M47" s="296">
        <f t="shared" si="24"/>
        <v>6.5250739538831783E-3</v>
      </c>
      <c r="N47" s="195"/>
      <c r="O47" s="412">
        <v>750000</v>
      </c>
      <c r="P47" s="300"/>
      <c r="Q47" s="300"/>
      <c r="R47" s="300"/>
      <c r="S47">
        <v>7</v>
      </c>
      <c r="T47" s="132">
        <f>+'App Log'!N183</f>
        <v>500000</v>
      </c>
      <c r="U47" s="7">
        <f t="shared" si="19"/>
        <v>0</v>
      </c>
      <c r="V47" s="46">
        <f t="shared" si="25"/>
        <v>13</v>
      </c>
      <c r="W47" s="134">
        <f>+'App Log'!O183</f>
        <v>0</v>
      </c>
      <c r="X47" s="7">
        <f t="shared" si="20"/>
        <v>0</v>
      </c>
      <c r="Y47" s="46">
        <f t="shared" si="21"/>
        <v>16</v>
      </c>
      <c r="Z47" s="132">
        <f>+'App Log'!P183</f>
        <v>0</v>
      </c>
      <c r="AA47" s="7">
        <f t="shared" si="22"/>
        <v>0</v>
      </c>
      <c r="AB47" s="415">
        <f t="shared" si="23"/>
        <v>9</v>
      </c>
      <c r="AC47" s="143"/>
      <c r="AD47" s="143"/>
      <c r="AE47" s="143"/>
      <c r="AF47" s="143"/>
      <c r="AG47" s="143"/>
      <c r="AH47" s="146"/>
      <c r="AI47" s="151"/>
      <c r="AJ47" s="144"/>
      <c r="AK47" s="152"/>
      <c r="AL47" s="153"/>
      <c r="AM47" s="153"/>
      <c r="AN47" s="154"/>
      <c r="AO47" s="154"/>
      <c r="AP47" s="146"/>
      <c r="AQ47" s="151"/>
      <c r="AR47" s="144"/>
      <c r="AS47" s="152"/>
      <c r="AT47" s="153"/>
      <c r="AU47" s="153"/>
      <c r="AV47" s="154"/>
      <c r="AW47" s="154"/>
    </row>
    <row r="48" spans="1:49">
      <c r="A48" s="159"/>
      <c r="B48" s="576"/>
      <c r="C48" s="196">
        <v>8</v>
      </c>
      <c r="D48" s="197" t="s">
        <v>12</v>
      </c>
      <c r="E48" s="247">
        <v>626619.86955477484</v>
      </c>
      <c r="F48" s="247"/>
      <c r="G48" s="193">
        <f t="shared" si="13"/>
        <v>626619.86955477484</v>
      </c>
      <c r="H48" s="193">
        <f t="shared" si="14"/>
        <v>0</v>
      </c>
      <c r="I48" s="193">
        <f t="shared" si="15"/>
        <v>126619.86955477484</v>
      </c>
      <c r="J48" s="292">
        <f t="shared" si="16"/>
        <v>2.3975567734469197E-3</v>
      </c>
      <c r="K48" s="194">
        <f t="shared" si="17"/>
        <v>-1592.9982282584704</v>
      </c>
      <c r="L48" s="448">
        <f>G48+K48</f>
        <v>625026.87132651638</v>
      </c>
      <c r="M48" s="296">
        <f t="shared" si="24"/>
        <v>8.1566931171394904E-3</v>
      </c>
      <c r="N48" s="195"/>
      <c r="O48" s="412">
        <v>818762</v>
      </c>
      <c r="P48" s="300"/>
      <c r="Q48" s="300"/>
      <c r="R48" s="300"/>
      <c r="S48">
        <v>8</v>
      </c>
      <c r="T48" s="132">
        <f>+'App Log'!N203</f>
        <v>0</v>
      </c>
      <c r="U48" s="7">
        <f t="shared" si="19"/>
        <v>1</v>
      </c>
      <c r="V48" s="46">
        <f t="shared" si="25"/>
        <v>1</v>
      </c>
      <c r="W48" s="134">
        <f>+'App Log'!O203</f>
        <v>818762</v>
      </c>
      <c r="X48" s="7">
        <f t="shared" si="20"/>
        <v>-0.30996287929559374</v>
      </c>
      <c r="Y48" s="46">
        <f t="shared" si="21"/>
        <v>17</v>
      </c>
      <c r="Z48" s="132">
        <f>+'App Log'!P203</f>
        <v>0</v>
      </c>
      <c r="AA48" s="7">
        <f t="shared" si="22"/>
        <v>-0.30996287929559374</v>
      </c>
      <c r="AB48" s="415">
        <f t="shared" si="23"/>
        <v>16</v>
      </c>
      <c r="AC48" s="143"/>
      <c r="AD48" s="143"/>
      <c r="AE48" s="143"/>
      <c r="AF48" s="143"/>
      <c r="AG48" s="143"/>
      <c r="AH48" s="146"/>
      <c r="AI48" s="151"/>
      <c r="AJ48" s="144"/>
      <c r="AK48" s="152"/>
      <c r="AL48" s="153"/>
      <c r="AM48" s="153"/>
      <c r="AN48" s="154"/>
      <c r="AO48" s="154"/>
      <c r="AP48" s="146"/>
      <c r="AQ48" s="151"/>
      <c r="AR48" s="144"/>
      <c r="AS48" s="152"/>
      <c r="AT48" s="153"/>
      <c r="AU48" s="153"/>
      <c r="AV48" s="154"/>
      <c r="AW48" s="154"/>
    </row>
    <row r="49" spans="1:49">
      <c r="A49" s="159"/>
      <c r="B49" s="576"/>
      <c r="C49" s="196">
        <v>9</v>
      </c>
      <c r="D49" s="197" t="s">
        <v>113</v>
      </c>
      <c r="E49" s="247">
        <v>507840.79188247875</v>
      </c>
      <c r="F49" s="247"/>
      <c r="G49" s="193">
        <f t="shared" si="13"/>
        <v>507840.79188247875</v>
      </c>
      <c r="H49" s="193">
        <f t="shared" si="14"/>
        <v>0</v>
      </c>
      <c r="I49" s="193">
        <f t="shared" si="15"/>
        <v>7840.7918824787484</v>
      </c>
      <c r="J49" s="292">
        <f t="shared" si="16"/>
        <v>1.4846598526064938E-4</v>
      </c>
      <c r="K49" s="194">
        <f t="shared" si="17"/>
        <v>-98.644609419130703</v>
      </c>
      <c r="L49" s="448">
        <f t="shared" si="18"/>
        <v>507742.14727305964</v>
      </c>
      <c r="M49" s="296">
        <f t="shared" si="24"/>
        <v>6.6261101209203165E-3</v>
      </c>
      <c r="N49" s="195"/>
      <c r="O49" s="412">
        <v>750000</v>
      </c>
      <c r="P49" s="300"/>
      <c r="Q49" s="300"/>
      <c r="R49" s="300"/>
      <c r="S49">
        <v>9</v>
      </c>
      <c r="T49" s="132">
        <f>+'App Log'!N218</f>
        <v>500000</v>
      </c>
      <c r="U49" s="7">
        <f t="shared" si="19"/>
        <v>1.5248187125375678E-2</v>
      </c>
      <c r="V49" s="46">
        <f t="shared" si="25"/>
        <v>12</v>
      </c>
      <c r="W49" s="134">
        <f>+'App Log'!O218</f>
        <v>500000</v>
      </c>
      <c r="X49" s="7">
        <f t="shared" si="20"/>
        <v>-0.96950362574924864</v>
      </c>
      <c r="Y49" s="46">
        <f t="shared" si="21"/>
        <v>25</v>
      </c>
      <c r="Z49" s="132">
        <f>+'App Log'!P218</f>
        <v>0</v>
      </c>
      <c r="AA49" s="7">
        <f t="shared" si="22"/>
        <v>-0.96950362574924864</v>
      </c>
      <c r="AB49" s="415">
        <f t="shared" si="23"/>
        <v>25</v>
      </c>
      <c r="AC49" s="143"/>
      <c r="AD49" s="143"/>
      <c r="AE49" s="143"/>
      <c r="AF49" s="143"/>
      <c r="AG49" s="143"/>
      <c r="AH49" s="146"/>
      <c r="AI49" s="151"/>
      <c r="AJ49" s="144"/>
      <c r="AK49" s="152"/>
      <c r="AL49" s="153"/>
      <c r="AM49" s="153"/>
      <c r="AN49" s="154"/>
      <c r="AO49" s="154"/>
      <c r="AP49" s="146"/>
      <c r="AQ49" s="151"/>
      <c r="AR49" s="144"/>
      <c r="AS49" s="152"/>
      <c r="AT49" s="153"/>
      <c r="AU49" s="153"/>
      <c r="AV49" s="154"/>
      <c r="AW49" s="154"/>
    </row>
    <row r="50" spans="1:49">
      <c r="A50" s="159"/>
      <c r="B50" s="576"/>
      <c r="C50" s="196">
        <v>10</v>
      </c>
      <c r="D50" s="197" t="s">
        <v>114</v>
      </c>
      <c r="E50" s="247">
        <v>670194.79352445202</v>
      </c>
      <c r="F50" s="247"/>
      <c r="G50" s="193">
        <f t="shared" si="13"/>
        <v>670194.79352445202</v>
      </c>
      <c r="H50" s="193">
        <f t="shared" si="14"/>
        <v>0</v>
      </c>
      <c r="I50" s="193">
        <f t="shared" si="15"/>
        <v>170194.79352445202</v>
      </c>
      <c r="J50" s="292">
        <f t="shared" si="16"/>
        <v>3.2226512430849545E-3</v>
      </c>
      <c r="K50" s="194">
        <f t="shared" si="17"/>
        <v>-2141.2121612239043</v>
      </c>
      <c r="L50" s="448">
        <f t="shared" si="18"/>
        <v>668053.58136322815</v>
      </c>
      <c r="M50" s="296">
        <f t="shared" si="24"/>
        <v>8.7181980471031529E-3</v>
      </c>
      <c r="N50" s="195"/>
      <c r="O50" s="412">
        <v>874597</v>
      </c>
      <c r="P50" s="300"/>
      <c r="Q50" s="300"/>
      <c r="R50" s="300"/>
      <c r="S50">
        <v>10</v>
      </c>
      <c r="T50" s="132">
        <f>+'App Log'!N240</f>
        <v>584842</v>
      </c>
      <c r="U50" s="7">
        <f t="shared" si="19"/>
        <v>0.1245582445549156</v>
      </c>
      <c r="V50" s="46">
        <f t="shared" si="25"/>
        <v>10</v>
      </c>
      <c r="W50" s="134">
        <f>+'App Log'!O240</f>
        <v>0</v>
      </c>
      <c r="X50" s="7">
        <f t="shared" si="20"/>
        <v>0.1245582445549156</v>
      </c>
      <c r="Y50" s="46">
        <f t="shared" si="21"/>
        <v>7</v>
      </c>
      <c r="Z50" s="132">
        <f>+'App Log'!P240</f>
        <v>0</v>
      </c>
      <c r="AA50" s="7">
        <f t="shared" si="22"/>
        <v>0.1245582445549156</v>
      </c>
      <c r="AB50" s="415">
        <f t="shared" si="23"/>
        <v>2</v>
      </c>
      <c r="AC50" s="143"/>
      <c r="AD50" s="143"/>
      <c r="AE50" s="143"/>
      <c r="AF50" s="143"/>
      <c r="AG50" s="143"/>
      <c r="AH50" s="146"/>
      <c r="AI50" s="151"/>
      <c r="AJ50" s="144"/>
      <c r="AK50" s="152"/>
      <c r="AL50" s="153"/>
      <c r="AM50" s="153"/>
      <c r="AN50" s="154"/>
      <c r="AO50" s="154"/>
      <c r="AP50" s="146"/>
      <c r="AQ50" s="151"/>
      <c r="AR50" s="144"/>
      <c r="AS50" s="152"/>
      <c r="AT50" s="153"/>
      <c r="AU50" s="153"/>
      <c r="AV50" s="154"/>
      <c r="AW50" s="154"/>
    </row>
    <row r="51" spans="1:49">
      <c r="A51" s="159"/>
      <c r="B51" s="576"/>
      <c r="C51" s="196">
        <v>11</v>
      </c>
      <c r="D51" s="197" t="s">
        <v>13</v>
      </c>
      <c r="E51" s="247">
        <v>915032.54333774676</v>
      </c>
      <c r="F51" s="247"/>
      <c r="G51" s="193">
        <f t="shared" si="13"/>
        <v>915032.54333774676</v>
      </c>
      <c r="H51" s="193">
        <f t="shared" si="14"/>
        <v>0</v>
      </c>
      <c r="I51" s="193">
        <f t="shared" si="15"/>
        <v>415032.54333774676</v>
      </c>
      <c r="J51" s="292">
        <f t="shared" si="16"/>
        <v>7.8586724893904541E-3</v>
      </c>
      <c r="K51" s="194">
        <f t="shared" si="17"/>
        <v>-5221.5036118058106</v>
      </c>
      <c r="L51" s="448">
        <f>G51+K51</f>
        <v>909811.03972594091</v>
      </c>
      <c r="M51" s="296">
        <f t="shared" si="24"/>
        <v>1.1873168636542222E-2</v>
      </c>
      <c r="N51" s="195"/>
      <c r="O51" s="412">
        <v>1188321</v>
      </c>
      <c r="P51" s="300"/>
      <c r="Q51" s="300"/>
      <c r="R51" s="300"/>
      <c r="S51">
        <v>11</v>
      </c>
      <c r="T51" s="132">
        <f>+'App Log'!N258</f>
        <v>770000</v>
      </c>
      <c r="U51" s="7">
        <f t="shared" si="19"/>
        <v>0.15367041464792042</v>
      </c>
      <c r="V51" s="46">
        <f t="shared" si="25"/>
        <v>8</v>
      </c>
      <c r="W51" s="134">
        <f>+'App Log'!O258</f>
        <v>679000</v>
      </c>
      <c r="X51" s="7">
        <f t="shared" si="20"/>
        <v>-0.59263840152618608</v>
      </c>
      <c r="Y51" s="46">
        <f t="shared" si="21"/>
        <v>21</v>
      </c>
      <c r="Z51" s="132">
        <f>+'App Log'!P258</f>
        <v>0</v>
      </c>
      <c r="AA51" s="7">
        <f t="shared" si="22"/>
        <v>-0.59263840152618608</v>
      </c>
      <c r="AB51" s="415">
        <f t="shared" si="23"/>
        <v>21</v>
      </c>
      <c r="AC51" s="143"/>
      <c r="AD51" s="143"/>
      <c r="AE51" s="143"/>
      <c r="AF51" s="143"/>
      <c r="AG51" s="143"/>
      <c r="AH51" s="146"/>
      <c r="AI51" s="151"/>
      <c r="AJ51" s="144"/>
      <c r="AK51" s="152"/>
      <c r="AL51" s="153"/>
      <c r="AM51" s="153"/>
      <c r="AN51" s="154"/>
      <c r="AO51" s="154"/>
      <c r="AP51" s="146"/>
      <c r="AQ51" s="151"/>
      <c r="AR51" s="144"/>
      <c r="AS51" s="152"/>
      <c r="AT51" s="153"/>
      <c r="AU51" s="153"/>
      <c r="AV51" s="154"/>
      <c r="AW51" s="154"/>
    </row>
    <row r="52" spans="1:49">
      <c r="A52" s="159"/>
      <c r="B52" s="576"/>
      <c r="C52" s="196">
        <v>12</v>
      </c>
      <c r="D52" s="197" t="s">
        <v>115</v>
      </c>
      <c r="E52" s="247">
        <v>426674.93808694626</v>
      </c>
      <c r="F52" s="247"/>
      <c r="G52" s="193">
        <f>E52+F52</f>
        <v>426674.93808694626</v>
      </c>
      <c r="H52" s="193">
        <f t="shared" si="14"/>
        <v>73325.061913053738</v>
      </c>
      <c r="I52" s="193">
        <f t="shared" si="15"/>
        <v>0</v>
      </c>
      <c r="J52" s="292">
        <f t="shared" si="16"/>
        <v>0</v>
      </c>
      <c r="K52" s="194">
        <f t="shared" si="17"/>
        <v>73325.061913053738</v>
      </c>
      <c r="L52" s="448">
        <f>G52+K52</f>
        <v>500000</v>
      </c>
      <c r="M52" s="296">
        <f t="shared" si="24"/>
        <v>6.5250739538831783E-3</v>
      </c>
      <c r="N52" s="195"/>
      <c r="O52" s="412">
        <v>750000</v>
      </c>
      <c r="P52" s="300"/>
      <c r="Q52" s="300"/>
      <c r="R52" s="300"/>
      <c r="S52">
        <v>12</v>
      </c>
      <c r="T52" s="132">
        <f>+'App Log'!N286</f>
        <v>0</v>
      </c>
      <c r="U52" s="7">
        <f t="shared" si="19"/>
        <v>1</v>
      </c>
      <c r="V52" s="46">
        <f t="shared" si="25"/>
        <v>1</v>
      </c>
      <c r="W52" s="134">
        <f>+'App Log'!O286</f>
        <v>750000</v>
      </c>
      <c r="X52" s="7">
        <f t="shared" si="20"/>
        <v>-0.5</v>
      </c>
      <c r="Y52" s="46">
        <f t="shared" si="21"/>
        <v>19</v>
      </c>
      <c r="Z52" s="132">
        <f>+'App Log'!P286</f>
        <v>0</v>
      </c>
      <c r="AA52" s="7">
        <f t="shared" si="22"/>
        <v>-0.5</v>
      </c>
      <c r="AB52" s="415">
        <f t="shared" si="23"/>
        <v>19</v>
      </c>
      <c r="AC52" s="143"/>
      <c r="AD52" s="143"/>
      <c r="AE52" s="143"/>
      <c r="AF52" s="143"/>
      <c r="AG52" s="143"/>
      <c r="AH52" s="146"/>
      <c r="AI52" s="151"/>
      <c r="AJ52" s="144"/>
      <c r="AK52" s="152"/>
      <c r="AL52" s="153"/>
      <c r="AM52" s="153"/>
      <c r="AN52" s="154"/>
      <c r="AO52" s="154"/>
      <c r="AP52" s="146"/>
      <c r="AQ52" s="151"/>
      <c r="AR52" s="144"/>
      <c r="AS52" s="152"/>
      <c r="AT52" s="153"/>
      <c r="AU52" s="153"/>
      <c r="AV52" s="154"/>
      <c r="AW52" s="154"/>
    </row>
    <row r="53" spans="1:49" ht="15.75" thickBot="1">
      <c r="A53" s="159"/>
      <c r="B53" s="577"/>
      <c r="C53" s="201">
        <v>13</v>
      </c>
      <c r="D53" s="202" t="s">
        <v>116</v>
      </c>
      <c r="E53" s="248">
        <v>56568.994929063767</v>
      </c>
      <c r="F53" s="248"/>
      <c r="G53" s="250">
        <f t="shared" si="13"/>
        <v>56568.994929063767</v>
      </c>
      <c r="H53" s="250">
        <f t="shared" si="14"/>
        <v>443431.00507093623</v>
      </c>
      <c r="I53" s="250">
        <f t="shared" si="15"/>
        <v>0</v>
      </c>
      <c r="J53" s="293">
        <f t="shared" si="16"/>
        <v>0</v>
      </c>
      <c r="K53" s="251">
        <f t="shared" si="17"/>
        <v>443431.00507093623</v>
      </c>
      <c r="L53" s="449">
        <f t="shared" si="18"/>
        <v>500000</v>
      </c>
      <c r="M53" s="296">
        <f t="shared" si="24"/>
        <v>6.5250739538831783E-3</v>
      </c>
      <c r="N53" s="195"/>
      <c r="O53" s="413">
        <v>750000</v>
      </c>
      <c r="P53" s="300"/>
      <c r="Q53" s="300"/>
      <c r="R53" s="300"/>
      <c r="S53">
        <v>13</v>
      </c>
      <c r="T53" s="132">
        <f>+'App Log'!N302</f>
        <v>0</v>
      </c>
      <c r="U53" s="7">
        <f t="shared" si="19"/>
        <v>1</v>
      </c>
      <c r="V53" s="46">
        <f t="shared" si="25"/>
        <v>1</v>
      </c>
      <c r="W53" s="134">
        <f>+'App Log'!O302</f>
        <v>701300</v>
      </c>
      <c r="X53" s="7">
        <f t="shared" si="20"/>
        <v>-0.40260000000000007</v>
      </c>
      <c r="Y53" s="46">
        <f t="shared" si="21"/>
        <v>18</v>
      </c>
      <c r="Z53" s="132">
        <f>+'App Log'!P302</f>
        <v>0</v>
      </c>
      <c r="AA53" s="7">
        <f t="shared" si="22"/>
        <v>-0.40260000000000007</v>
      </c>
      <c r="AB53" s="415">
        <f t="shared" si="23"/>
        <v>18</v>
      </c>
      <c r="AC53" s="143"/>
      <c r="AD53" s="143"/>
      <c r="AE53" s="143"/>
      <c r="AF53" s="143"/>
      <c r="AG53" s="143"/>
      <c r="AH53" s="146"/>
      <c r="AI53" s="151"/>
      <c r="AJ53" s="144"/>
      <c r="AK53" s="152"/>
      <c r="AL53" s="153"/>
      <c r="AM53" s="153"/>
      <c r="AN53" s="154"/>
      <c r="AO53" s="154"/>
      <c r="AP53" s="146"/>
      <c r="AQ53" s="151"/>
      <c r="AR53" s="144"/>
      <c r="AS53" s="152"/>
      <c r="AT53" s="153"/>
      <c r="AU53" s="153"/>
      <c r="AV53" s="154"/>
      <c r="AW53" s="154"/>
    </row>
    <row r="54" spans="1:49" ht="15.75" thickBot="1">
      <c r="A54" s="40"/>
      <c r="B54" s="39"/>
      <c r="C54" s="195"/>
      <c r="D54" s="195"/>
      <c r="E54" s="218"/>
      <c r="F54" s="218"/>
      <c r="G54" s="218"/>
      <c r="H54" s="218"/>
      <c r="I54" s="218"/>
      <c r="J54" s="195"/>
      <c r="K54" s="195"/>
      <c r="L54" s="219"/>
      <c r="M54" s="195"/>
      <c r="N54" s="195"/>
      <c r="T54" s="181">
        <f>SUM(T27:T53)</f>
        <v>56324506</v>
      </c>
      <c r="U54" s="136"/>
      <c r="V54" s="136"/>
      <c r="W54" s="180">
        <f>SUM(W41:W53)</f>
        <v>7289987</v>
      </c>
      <c r="X54" s="136"/>
      <c r="Y54" s="136"/>
      <c r="Z54" s="135">
        <f>SUM(Z27:Z53)</f>
        <v>8626047</v>
      </c>
      <c r="AA54" s="9"/>
      <c r="AB54" s="91"/>
      <c r="AO54" s="91"/>
    </row>
    <row r="55" spans="1:49">
      <c r="A55" s="34"/>
      <c r="B55" s="41"/>
      <c r="C55" s="195"/>
      <c r="D55" s="220" t="s">
        <v>15</v>
      </c>
      <c r="E55" s="214">
        <f>SUM(E27:E39)</f>
        <v>56417899.248159908</v>
      </c>
      <c r="F55" s="214">
        <f>SUM(F27:F39)</f>
        <v>14255</v>
      </c>
      <c r="G55" s="214">
        <f>SUM(G27:G39)</f>
        <v>56432154.248159908</v>
      </c>
      <c r="H55" s="214">
        <f>SUM(H27:H39)</f>
        <v>0</v>
      </c>
      <c r="I55" s="214">
        <f>SUM(I27:I39)</f>
        <v>49932154.248159908</v>
      </c>
      <c r="J55" s="215"/>
      <c r="K55" s="216">
        <f>SUM(K27:K39)</f>
        <v>-628193.92825261259</v>
      </c>
      <c r="L55" s="447">
        <f>SUM(L27:L39)</f>
        <v>58326067.3199073</v>
      </c>
      <c r="M55" s="217">
        <f>L55/G61</f>
        <v>0.7606653214677449</v>
      </c>
      <c r="N55" s="195"/>
      <c r="O55" s="94" t="s">
        <v>60</v>
      </c>
      <c r="P55" s="95"/>
      <c r="Q55" s="139">
        <f>+SUM(T54:Z54)</f>
        <v>72240540</v>
      </c>
      <c r="R55" s="130">
        <f>+Q55/Q64</f>
        <v>0.90879997301679305</v>
      </c>
      <c r="Y55" s="13"/>
      <c r="Z55" s="319"/>
      <c r="AB55" s="13"/>
      <c r="AP55" s="91"/>
    </row>
    <row r="56" spans="1:49" ht="15.75" thickBot="1">
      <c r="A56" s="34"/>
      <c r="B56" s="41"/>
      <c r="C56" s="195"/>
      <c r="D56" s="221" t="s">
        <v>80</v>
      </c>
      <c r="E56" s="203">
        <f>SUM(E41:E53)</f>
        <v>8715462.3218401093</v>
      </c>
      <c r="F56" s="203">
        <f>SUM(F41:F53)</f>
        <v>0</v>
      </c>
      <c r="G56" s="203">
        <f>SUM(G41:G53)</f>
        <v>8715462.3218401093</v>
      </c>
      <c r="H56" s="203">
        <f>SUM(H41:H53)</f>
        <v>664425.65444164583</v>
      </c>
      <c r="I56" s="203">
        <f>SUM(I41:I53)</f>
        <v>2879887.9762817537</v>
      </c>
      <c r="J56" s="204"/>
      <c r="K56" s="294">
        <f>SUM(K41:K53)</f>
        <v>628193.92825261259</v>
      </c>
      <c r="L56" s="450">
        <f>SUM(L41:L53)</f>
        <v>9343656.2500927206</v>
      </c>
      <c r="M56" s="205">
        <f>L56/G61</f>
        <v>0.1218562404726892</v>
      </c>
      <c r="N56" s="195"/>
      <c r="O56" s="96" t="s">
        <v>61</v>
      </c>
      <c r="P56" s="13"/>
      <c r="Q56" s="12">
        <f>+'App Log'!Q25</f>
        <v>3737224</v>
      </c>
      <c r="R56" s="104">
        <f>+Q56/Q64</f>
        <v>4.7015001138664129E-2</v>
      </c>
    </row>
    <row r="57" spans="1:49" ht="15.75" thickBot="1">
      <c r="A57" s="34"/>
      <c r="B57" s="41"/>
      <c r="C57" s="195"/>
      <c r="D57" s="222"/>
      <c r="E57" s="208"/>
      <c r="F57" s="208"/>
      <c r="G57" s="208"/>
      <c r="H57" s="208"/>
      <c r="I57" s="208"/>
      <c r="J57" s="209"/>
      <c r="K57" s="223"/>
      <c r="L57" s="425"/>
      <c r="M57" s="211"/>
      <c r="N57" s="195"/>
      <c r="O57" s="97" t="s">
        <v>62</v>
      </c>
      <c r="P57" s="93"/>
      <c r="Q57" s="138">
        <f>+'App Log'!Q24-'App Log'!Q25</f>
        <v>3158783</v>
      </c>
      <c r="R57" s="105">
        <f>+Q57/Q64</f>
        <v>3.9738101420143106E-2</v>
      </c>
      <c r="W57" s="549"/>
    </row>
    <row r="58" spans="1:49">
      <c r="A58" s="34"/>
      <c r="B58" s="43"/>
      <c r="C58" s="195"/>
      <c r="D58" s="220" t="s">
        <v>107</v>
      </c>
      <c r="E58" s="214">
        <f>SUM(E55:E56)</f>
        <v>65133361.570000015</v>
      </c>
      <c r="F58" s="214">
        <f>F55+F56</f>
        <v>14255</v>
      </c>
      <c r="G58" s="214">
        <f>G55+G56</f>
        <v>65147616.570000015</v>
      </c>
      <c r="H58" s="214">
        <f>H55+H56</f>
        <v>664425.65444164583</v>
      </c>
      <c r="I58" s="214">
        <f>I55+I56</f>
        <v>52812042.224441662</v>
      </c>
      <c r="J58" s="224"/>
      <c r="K58" s="225"/>
      <c r="L58" s="451">
        <f>L55+L56</f>
        <v>67669723.570000023</v>
      </c>
      <c r="M58" s="217">
        <f>L58/G61</f>
        <v>0.88252156194043407</v>
      </c>
      <c r="N58" s="195"/>
      <c r="O58" s="96" t="s">
        <v>64</v>
      </c>
      <c r="P58" s="13"/>
      <c r="Q58" s="12">
        <f>SUM(Q55:Q57)</f>
        <v>79136547</v>
      </c>
      <c r="R58" s="104">
        <f>+Q58/Q64</f>
        <v>0.99555307557560024</v>
      </c>
      <c r="W58" s="550"/>
      <c r="AB58" s="178"/>
    </row>
    <row r="59" spans="1:49" ht="16.5">
      <c r="A59" s="34"/>
      <c r="B59" s="41"/>
      <c r="C59" s="195"/>
      <c r="D59" s="226" t="s">
        <v>108</v>
      </c>
      <c r="E59" s="198">
        <f>E61*0.15</f>
        <v>11494122.6</v>
      </c>
      <c r="F59" s="247"/>
      <c r="G59" s="198">
        <f>E59+F59</f>
        <v>11494122.6</v>
      </c>
      <c r="H59" s="227"/>
      <c r="I59" s="228"/>
      <c r="J59" s="229"/>
      <c r="K59" s="230"/>
      <c r="L59" s="452">
        <f>G59+F60</f>
        <v>11530083.6</v>
      </c>
      <c r="M59" s="199">
        <f>L59/G61</f>
        <v>0.15037075446968284</v>
      </c>
      <c r="N59" s="195"/>
      <c r="O59" s="103"/>
      <c r="P59" s="168" t="s">
        <v>66</v>
      </c>
      <c r="Q59" s="332">
        <f>'App Log'!W9</f>
        <v>19754645</v>
      </c>
      <c r="R59" s="431">
        <f>+Q59/Q64</f>
        <v>0.24851725697172702</v>
      </c>
      <c r="W59" s="550"/>
    </row>
    <row r="60" spans="1:49" ht="16.5">
      <c r="A60" s="34"/>
      <c r="B60" s="41"/>
      <c r="C60" s="231"/>
      <c r="D60" s="232" t="s">
        <v>109</v>
      </c>
      <c r="E60" s="233">
        <f>E61*0.05</f>
        <v>3831374.2</v>
      </c>
      <c r="F60" s="247">
        <v>35961</v>
      </c>
      <c r="G60" s="233">
        <f>E60+F60</f>
        <v>3867335.2</v>
      </c>
      <c r="H60" s="234"/>
      <c r="I60" s="235"/>
      <c r="J60" s="236"/>
      <c r="K60" s="237"/>
      <c r="L60" s="453">
        <f>G60</f>
        <v>3867335.2</v>
      </c>
      <c r="M60" s="238">
        <f>L60/E61</f>
        <v>5.046929636891119E-2</v>
      </c>
      <c r="N60" s="195"/>
      <c r="O60" s="103"/>
      <c r="P60" s="168" t="s">
        <v>147</v>
      </c>
      <c r="Q60" s="332">
        <f>'App Log'!W8</f>
        <v>15880798</v>
      </c>
      <c r="R60" s="431">
        <f>+Q60/Q64</f>
        <v>0.19978351205410619</v>
      </c>
      <c r="W60" s="550"/>
    </row>
    <row r="61" spans="1:49" ht="15.75" thickBot="1">
      <c r="A61" s="34"/>
      <c r="B61" s="41"/>
      <c r="C61" s="231"/>
      <c r="D61" s="221" t="s">
        <v>110</v>
      </c>
      <c r="E61" s="248">
        <v>76627484</v>
      </c>
      <c r="F61" s="203">
        <f>F58+F59+F60</f>
        <v>50216</v>
      </c>
      <c r="G61" s="203">
        <f>E61+F61</f>
        <v>76677700</v>
      </c>
      <c r="H61" s="239"/>
      <c r="I61" s="240"/>
      <c r="J61" s="241"/>
      <c r="K61" s="242"/>
      <c r="L61" s="454">
        <f>L58+L59</f>
        <v>79199807.170000017</v>
      </c>
      <c r="M61" s="205">
        <f>M58+M59</f>
        <v>1.0328923164101169</v>
      </c>
      <c r="N61" s="195"/>
      <c r="O61" s="137" t="s">
        <v>63</v>
      </c>
      <c r="P61" s="93"/>
      <c r="Q61" s="140">
        <f>L61-Q55-Q56-Q57</f>
        <v>63260.170000016689</v>
      </c>
      <c r="R61" s="105">
        <f>+Q61/Q64</f>
        <v>7.9582518055724537E-4</v>
      </c>
      <c r="W61" s="549"/>
    </row>
    <row r="62" spans="1:49" ht="15" customHeight="1" thickBot="1">
      <c r="A62" s="185"/>
      <c r="B62" s="186"/>
      <c r="C62" s="186"/>
      <c r="D62" s="185"/>
      <c r="E62" s="185"/>
      <c r="F62" s="185"/>
      <c r="G62" s="185"/>
      <c r="H62" s="185"/>
      <c r="I62" s="185"/>
      <c r="J62" s="185"/>
      <c r="K62" s="185"/>
      <c r="L62" s="278"/>
      <c r="M62" s="185"/>
      <c r="N62" s="185"/>
      <c r="O62" s="101" t="s">
        <v>73</v>
      </c>
      <c r="P62" s="102"/>
      <c r="Q62" s="341">
        <v>290226</v>
      </c>
      <c r="R62" s="106"/>
    </row>
    <row r="63" spans="1:49" ht="16.5" thickTop="1" thickBot="1">
      <c r="A63" s="34"/>
      <c r="B63" s="41"/>
      <c r="C63" s="41"/>
      <c r="D63" s="309" t="s">
        <v>139</v>
      </c>
      <c r="F63" s="310"/>
      <c r="G63" s="311"/>
      <c r="H63" s="312"/>
      <c r="I63" s="312"/>
      <c r="J63" s="312"/>
      <c r="K63" s="313"/>
      <c r="L63" s="313"/>
      <c r="M63" s="312"/>
      <c r="N63" s="314"/>
      <c r="O63" s="101" t="s">
        <v>74</v>
      </c>
      <c r="P63" s="102"/>
      <c r="Q63" s="141">
        <f>+Q61+Q62</f>
        <v>353486.17000001669</v>
      </c>
      <c r="R63" s="106"/>
      <c r="AA63" s="441"/>
    </row>
    <row r="64" spans="1:49" ht="19.5" customHeight="1" thickTop="1" thickBot="1">
      <c r="A64" s="33"/>
      <c r="B64" s="41"/>
      <c r="C64" s="41"/>
      <c r="D64" t="s">
        <v>737</v>
      </c>
      <c r="E64" s="441"/>
      <c r="F64" s="441"/>
      <c r="G64" s="441"/>
      <c r="H64" s="441"/>
      <c r="I64" s="441"/>
      <c r="J64" s="441"/>
      <c r="K64" s="441"/>
      <c r="L64" s="455"/>
      <c r="M64" s="441"/>
      <c r="N64" s="441"/>
      <c r="O64" s="98" t="s">
        <v>65</v>
      </c>
      <c r="P64" s="99"/>
      <c r="Q64" s="142">
        <f>+SUM(Q58,Q61,Q62)</f>
        <v>79490033.170000017</v>
      </c>
      <c r="R64" s="107">
        <f>R58+(Q63/Q64)</f>
        <v>1</v>
      </c>
      <c r="S64" s="42"/>
    </row>
    <row r="65" spans="1:28" ht="9.75" customHeight="1">
      <c r="A65" s="33"/>
      <c r="B65" s="41"/>
      <c r="C65" s="41"/>
      <c r="E65" s="441"/>
      <c r="F65" s="441"/>
      <c r="G65" s="441"/>
      <c r="H65" s="441"/>
      <c r="I65" s="441"/>
      <c r="J65" s="441"/>
      <c r="K65" s="441"/>
      <c r="L65" s="441"/>
      <c r="M65" s="441"/>
      <c r="N65" s="441"/>
      <c r="O65" s="441"/>
      <c r="P65" s="441"/>
      <c r="Q65" s="441"/>
      <c r="R65" s="432"/>
      <c r="S65" s="42"/>
    </row>
    <row r="66" spans="1:28" ht="18.75" customHeight="1">
      <c r="A66" s="33"/>
      <c r="B66" s="41"/>
      <c r="C66" s="41"/>
      <c r="D66" s="578" t="s">
        <v>739</v>
      </c>
      <c r="E66" s="578"/>
      <c r="F66" s="578"/>
      <c r="G66" s="578"/>
      <c r="H66" s="578"/>
      <c r="I66" s="578"/>
      <c r="J66" s="578"/>
      <c r="K66" s="578"/>
      <c r="L66" s="578"/>
      <c r="M66" s="578"/>
      <c r="N66" s="441"/>
      <c r="O66" s="573" t="s">
        <v>75</v>
      </c>
      <c r="P66" s="573"/>
      <c r="Q66" s="573"/>
      <c r="R66" s="432"/>
      <c r="S66" s="42"/>
    </row>
    <row r="67" spans="1:28" ht="43.5" customHeight="1">
      <c r="A67" s="33"/>
      <c r="B67" s="41"/>
      <c r="C67" s="41"/>
      <c r="D67" s="578"/>
      <c r="E67" s="578"/>
      <c r="F67" s="578"/>
      <c r="G67" s="578"/>
      <c r="H67" s="578"/>
      <c r="I67" s="578"/>
      <c r="J67" s="578"/>
      <c r="K67" s="578"/>
      <c r="L67" s="578"/>
      <c r="M67" s="578"/>
      <c r="N67" s="441"/>
      <c r="O67" s="573"/>
      <c r="P67" s="573"/>
      <c r="Q67" s="573"/>
      <c r="R67" s="432"/>
      <c r="S67" s="42"/>
      <c r="U67" s="100"/>
      <c r="X67" s="1"/>
      <c r="Z67"/>
      <c r="AA67" s="11"/>
    </row>
    <row r="68" spans="1:28" ht="24" customHeight="1">
      <c r="D68" s="578" t="s">
        <v>738</v>
      </c>
      <c r="E68" s="578"/>
      <c r="F68" s="578"/>
      <c r="G68" s="578"/>
      <c r="H68" s="578"/>
      <c r="I68" s="578"/>
      <c r="J68" s="578"/>
      <c r="K68" s="578"/>
      <c r="L68" s="578"/>
      <c r="M68" s="578"/>
      <c r="N68" s="441"/>
      <c r="O68" s="441"/>
      <c r="P68" s="455"/>
      <c r="Q68" s="441"/>
      <c r="R68" s="432"/>
      <c r="V68" s="10"/>
      <c r="W68" s="3"/>
      <c r="X68" s="10"/>
      <c r="Y68" s="10"/>
      <c r="Z68" s="3"/>
      <c r="AA68" s="10"/>
    </row>
    <row r="69" spans="1:28" ht="14.25" customHeight="1">
      <c r="D69" s="578"/>
      <c r="E69" s="578"/>
      <c r="F69" s="578"/>
      <c r="G69" s="578"/>
      <c r="H69" s="578"/>
      <c r="I69" s="578"/>
      <c r="J69" s="578"/>
      <c r="K69" s="578"/>
      <c r="L69" s="578"/>
      <c r="M69" s="578"/>
      <c r="N69" s="441"/>
      <c r="O69" s="441"/>
      <c r="P69" s="455"/>
      <c r="Q69" s="441"/>
      <c r="R69" s="432"/>
      <c r="U69" s="3"/>
      <c r="V69" s="10"/>
      <c r="W69" s="10"/>
      <c r="X69" s="3"/>
      <c r="Y69" s="10"/>
      <c r="Z69" s="10"/>
      <c r="AA69" s="3"/>
    </row>
    <row r="70" spans="1:28" ht="20.25" customHeight="1">
      <c r="A70" s="173"/>
      <c r="B70" s="173"/>
      <c r="C70" s="173"/>
      <c r="D70" s="578"/>
      <c r="E70" s="578"/>
      <c r="F70" s="578"/>
      <c r="G70" s="578"/>
      <c r="H70" s="578"/>
      <c r="I70" s="578"/>
      <c r="J70" s="578"/>
      <c r="K70" s="578"/>
      <c r="L70" s="578"/>
      <c r="M70" s="578"/>
      <c r="N70" s="441"/>
      <c r="P70" s="441"/>
      <c r="Q70" s="441"/>
      <c r="R70" s="432"/>
      <c r="S70" s="173"/>
      <c r="U70" s="3"/>
      <c r="V70" s="10"/>
      <c r="W70" s="10"/>
      <c r="X70" s="3"/>
      <c r="Y70" s="10"/>
      <c r="Z70" s="183"/>
      <c r="AA70" s="3"/>
    </row>
    <row r="71" spans="1:28">
      <c r="A71" s="34"/>
      <c r="B71" s="41"/>
      <c r="C71" s="41"/>
      <c r="D71" s="441"/>
      <c r="E71" s="441"/>
      <c r="F71" s="441"/>
      <c r="G71" s="441"/>
      <c r="H71" s="441"/>
      <c r="I71" s="441"/>
      <c r="J71" s="441"/>
      <c r="K71" s="441"/>
      <c r="L71" s="441"/>
      <c r="M71" s="441"/>
      <c r="N71" s="441"/>
      <c r="O71" s="441"/>
      <c r="P71" s="441"/>
      <c r="Q71" s="441"/>
      <c r="R71" s="337"/>
      <c r="S71" s="42"/>
      <c r="V71" s="10"/>
      <c r="W71" s="10"/>
      <c r="X71" s="3"/>
      <c r="Y71" s="10"/>
      <c r="Z71" s="10"/>
      <c r="AA71" s="3"/>
    </row>
    <row r="72" spans="1:28">
      <c r="A72" s="185"/>
      <c r="B72" s="186"/>
      <c r="C72" s="186"/>
      <c r="D72" s="441"/>
      <c r="E72" s="441"/>
      <c r="F72" s="441"/>
      <c r="G72" s="441"/>
      <c r="H72" s="441"/>
      <c r="I72" s="441"/>
      <c r="J72" s="441"/>
      <c r="K72" s="441"/>
      <c r="L72" s="441"/>
      <c r="M72" s="441"/>
      <c r="N72" s="441"/>
      <c r="O72" s="441"/>
      <c r="P72" s="441"/>
      <c r="Q72" s="441"/>
      <c r="R72" s="185"/>
      <c r="S72" s="42"/>
      <c r="V72" s="10"/>
      <c r="W72" s="10"/>
      <c r="X72" s="3"/>
      <c r="Y72" s="10"/>
      <c r="Z72" s="10"/>
      <c r="AA72" s="3"/>
      <c r="AB72" s="10"/>
    </row>
    <row r="73" spans="1:28">
      <c r="A73" s="34"/>
      <c r="B73" s="41"/>
      <c r="C73" s="41"/>
      <c r="D73" s="34"/>
      <c r="E73" s="34"/>
      <c r="F73" s="34"/>
      <c r="G73" s="169"/>
      <c r="H73" s="84"/>
      <c r="I73" s="84"/>
      <c r="J73" s="44"/>
      <c r="K73" s="34"/>
      <c r="L73" s="42"/>
      <c r="M73" s="85"/>
      <c r="N73" s="34"/>
      <c r="O73" s="34"/>
      <c r="P73" s="34"/>
      <c r="Q73" s="34"/>
      <c r="R73" s="34"/>
      <c r="S73" s="42"/>
      <c r="AB73" s="10"/>
    </row>
    <row r="74" spans="1:28">
      <c r="A74" s="34"/>
      <c r="B74" s="41"/>
      <c r="C74" s="41"/>
      <c r="D74" s="34"/>
      <c r="E74" s="34"/>
      <c r="F74" s="34"/>
      <c r="G74" s="170"/>
      <c r="H74" s="45"/>
      <c r="I74" s="45"/>
      <c r="J74" s="44"/>
      <c r="K74" s="34"/>
      <c r="L74" s="42"/>
      <c r="M74" s="36"/>
      <c r="N74" s="34"/>
      <c r="O74" s="34"/>
      <c r="P74" s="34"/>
      <c r="Q74" s="34"/>
      <c r="R74" s="34"/>
      <c r="S74" s="42"/>
      <c r="AB74" s="10"/>
    </row>
    <row r="75" spans="1:28">
      <c r="A75" s="34"/>
      <c r="B75" s="41"/>
      <c r="C75" s="41"/>
      <c r="D75" s="34"/>
      <c r="E75" s="34"/>
      <c r="F75" s="34"/>
      <c r="G75" s="171"/>
      <c r="H75" s="86"/>
      <c r="I75" s="86"/>
      <c r="J75" s="44"/>
      <c r="K75" s="34"/>
      <c r="L75" s="42"/>
      <c r="M75" s="34"/>
      <c r="N75" s="34"/>
      <c r="O75" s="42"/>
      <c r="P75" s="42"/>
      <c r="Q75" s="42"/>
      <c r="R75" s="42"/>
      <c r="S75" s="42"/>
      <c r="AB75" s="10"/>
    </row>
    <row r="76" spans="1:28">
      <c r="G76" s="172"/>
      <c r="AB76" s="10"/>
    </row>
    <row r="77" spans="1:28">
      <c r="G77" s="172"/>
    </row>
    <row r="78" spans="1:28">
      <c r="G78" s="172"/>
    </row>
    <row r="79" spans="1:28">
      <c r="G79" s="172"/>
    </row>
  </sheetData>
  <mergeCells count="10">
    <mergeCell ref="A21:R21"/>
    <mergeCell ref="B27:B39"/>
    <mergeCell ref="B41:B53"/>
    <mergeCell ref="D66:M67"/>
    <mergeCell ref="D68:M70"/>
    <mergeCell ref="T23:AB24"/>
    <mergeCell ref="P23:Q24"/>
    <mergeCell ref="C23:M24"/>
    <mergeCell ref="O23:O24"/>
    <mergeCell ref="O66:Q67"/>
  </mergeCells>
  <conditionalFormatting sqref="AB40">
    <cfRule type="colorScale" priority="1">
      <colorScale>
        <cfvo type="min" val="0"/>
        <cfvo type="percentile" val="50"/>
        <cfvo type="max" val="0"/>
        <color rgb="FF63BE7B"/>
        <color rgb="FFFFEB84"/>
        <color rgb="FFF8696B"/>
      </colorScale>
    </cfRule>
  </conditionalFormatting>
  <pageMargins left="0.2" right="0.2" top="0.25" bottom="0.25" header="0.3" footer="0.3"/>
  <pageSetup paperSize="5" scale="65" orientation="landscape" r:id="rId1"/>
  <colBreaks count="1" manualBreakCount="1">
    <brk id="18" max="1048575" man="1"/>
  </colBreaks>
  <drawing r:id="rId2"/>
  <legacyDrawing r:id="rId3"/>
</worksheet>
</file>

<file path=xl/worksheets/sheet2.xml><?xml version="1.0" encoding="utf-8"?>
<worksheet xmlns="http://schemas.openxmlformats.org/spreadsheetml/2006/main" xmlns:r="http://schemas.openxmlformats.org/officeDocument/2006/relationships">
  <dimension ref="A1:AV330"/>
  <sheetViews>
    <sheetView view="pageBreakPreview" topLeftCell="C1" zoomScaleNormal="110" zoomScaleSheetLayoutView="100" workbookViewId="0">
      <selection activeCell="C6" sqref="C6"/>
    </sheetView>
  </sheetViews>
  <sheetFormatPr defaultRowHeight="12"/>
  <cols>
    <col min="1" max="1" width="5.140625" style="14" hidden="1" customWidth="1"/>
    <col min="2" max="2" width="10.42578125" style="14" hidden="1" customWidth="1"/>
    <col min="3" max="3" width="15" style="338" customWidth="1"/>
    <col min="4" max="4" width="29" style="15" customWidth="1"/>
    <col min="5" max="5" width="10.85546875" style="15" customWidth="1"/>
    <col min="6" max="6" width="5" style="87" customWidth="1"/>
    <col min="7" max="7" width="5.28515625" style="16" customWidth="1"/>
    <col min="8" max="8" width="5.42578125" style="16" customWidth="1"/>
    <col min="9" max="9" width="5.42578125" style="15" customWidth="1"/>
    <col min="10" max="10" width="6.5703125" style="282" customWidth="1"/>
    <col min="11" max="11" width="14.85546875" style="465" customWidth="1"/>
    <col min="12" max="12" width="13.42578125" style="465" customWidth="1"/>
    <col min="13" max="13" width="7" style="297" customWidth="1"/>
    <col min="14" max="14" width="13.85546875" style="465" customWidth="1"/>
    <col min="15" max="15" width="13.42578125" style="15" customWidth="1"/>
    <col min="16" max="16" width="16.140625" style="15" customWidth="1"/>
    <col min="17" max="17" width="14.140625" style="464" customWidth="1"/>
    <col min="18" max="18" width="13.5703125" style="26" customWidth="1"/>
    <col min="19" max="19" width="3.140625" style="15" hidden="1" customWidth="1"/>
    <col min="20" max="20" width="3" style="15" hidden="1" customWidth="1"/>
    <col min="21" max="21" width="2.7109375" style="15" hidden="1" customWidth="1"/>
    <col min="22" max="22" width="12" style="26" customWidth="1"/>
    <col min="23" max="23" width="11.85546875" style="15" customWidth="1"/>
    <col min="24" max="24" width="8.140625" style="15" customWidth="1"/>
    <col min="25" max="25" width="9.140625" style="259" customWidth="1"/>
    <col min="26" max="27" width="12" style="15" bestFit="1" customWidth="1"/>
    <col min="28" max="29" width="14.7109375" style="15" customWidth="1"/>
    <col min="30" max="31" width="16.7109375" style="15" customWidth="1"/>
    <col min="32" max="16384" width="9.140625" style="15"/>
  </cols>
  <sheetData>
    <row r="1" spans="1:48" ht="15.75" customHeight="1"/>
    <row r="2" spans="1:48" ht="24.75" customHeight="1">
      <c r="E2" s="109" t="s">
        <v>68</v>
      </c>
    </row>
    <row r="3" spans="1:48" ht="21.75" customHeight="1">
      <c r="E3" s="108" t="s">
        <v>706</v>
      </c>
      <c r="V3" s="89"/>
    </row>
    <row r="4" spans="1:48" ht="12" customHeight="1">
      <c r="E4" s="108"/>
      <c r="S4" s="17"/>
      <c r="T4" s="17"/>
      <c r="U4" s="17"/>
      <c r="V4" s="264">
        <f>+SUM(Q13:Q23,Q28:Q31,Q36:Q40,Q45:Q50,Q54:Q57,Q62:Q66,Q71:Q98,Q103:Q107,Q112:Q116,Q121:Q124,Q136:Q139,Q144:Q174,Q179:Q182,Q187:Q195,Q200:Q202,Q207:Q209,Q214:Q217,Q222:Q232,Q237:Q239,Q244:Q248,Q253:Q255,Q262:Q276,Q281:Q285,Q290:Q294,Q299:Q301,P129:P131,Q306:Q312)</f>
        <v>79136547</v>
      </c>
      <c r="W4" s="17">
        <f>COUNTIF(R13:R312,"I")+COUNTIF(R13:R312,"r")+COUNTIF(R13:R312,"sw")</f>
        <v>74</v>
      </c>
      <c r="X4" s="17"/>
      <c r="Y4" s="270"/>
      <c r="Z4" s="17"/>
      <c r="AA4" s="157"/>
      <c r="AB4" s="157"/>
      <c r="AC4" s="20"/>
      <c r="AD4" s="158"/>
      <c r="AE4" s="18"/>
      <c r="AF4" s="19"/>
      <c r="AG4" s="17"/>
      <c r="AH4" s="17"/>
      <c r="AI4" s="17"/>
      <c r="AJ4" s="17"/>
      <c r="AK4" s="20"/>
      <c r="AL4" s="17"/>
      <c r="AM4" s="17"/>
      <c r="AN4" s="17"/>
      <c r="AO4" s="17"/>
      <c r="AP4" s="20"/>
      <c r="AQ4" s="17"/>
      <c r="AR4" s="17"/>
      <c r="AS4" s="17"/>
      <c r="AT4" s="17"/>
      <c r="AU4" s="17"/>
      <c r="AV4" s="17"/>
    </row>
    <row r="5" spans="1:48" ht="4.5" customHeight="1">
      <c r="AA5" s="125"/>
      <c r="AB5" s="125"/>
      <c r="AC5" s="125"/>
      <c r="AD5" s="125"/>
    </row>
    <row r="6" spans="1:48">
      <c r="L6" s="493"/>
      <c r="M6" s="298"/>
      <c r="N6" s="478" t="s">
        <v>25</v>
      </c>
      <c r="O6" s="115" t="s">
        <v>71</v>
      </c>
      <c r="P6" s="115" t="s">
        <v>72</v>
      </c>
      <c r="R6" s="535" t="s">
        <v>39</v>
      </c>
      <c r="V6" s="26" t="s">
        <v>58</v>
      </c>
      <c r="W6" s="16">
        <f>SUMIF(H14:H22,"X",Q14:Q22)</f>
        <v>3737224</v>
      </c>
      <c r="X6" s="263">
        <f>W6/CEILING!L61</f>
        <v>4.7187286605107008E-2</v>
      </c>
      <c r="AA6" s="127"/>
      <c r="AB6" s="127"/>
      <c r="AC6" s="125"/>
      <c r="AD6" s="125"/>
    </row>
    <row r="7" spans="1:48">
      <c r="L7" s="494" t="s">
        <v>16</v>
      </c>
      <c r="N7" s="465">
        <f>+CEILING!L61</f>
        <v>79199807.170000017</v>
      </c>
      <c r="O7" s="510">
        <f>+CEILING!L56-SUM(CEILING!T41:T53)</f>
        <v>3765169.2500927206</v>
      </c>
      <c r="P7" s="464">
        <f>+N9-O8</f>
        <v>8689307.1700000167</v>
      </c>
      <c r="R7" s="515"/>
      <c r="V7" s="26" t="s">
        <v>4</v>
      </c>
      <c r="W7" s="16">
        <f>Q24</f>
        <v>6896007</v>
      </c>
      <c r="X7" s="263">
        <f>W7/CEILING!L61</f>
        <v>8.7071007448262183E-2</v>
      </c>
      <c r="AA7" s="127"/>
      <c r="AB7" s="127"/>
      <c r="AC7" s="127"/>
      <c r="AD7" s="119"/>
    </row>
    <row r="8" spans="1:48">
      <c r="C8" s="416"/>
      <c r="F8" s="131"/>
      <c r="L8" s="495" t="s">
        <v>22</v>
      </c>
      <c r="N8" s="465">
        <f>+SUMIF($L$14:$L$817,"recommended",$N$14:$N$817)</f>
        <v>63220513</v>
      </c>
      <c r="O8" s="465">
        <f>+SUMIF($L$29:$L$817,"recommended",$O$29:$O$817)</f>
        <v>7289987</v>
      </c>
      <c r="P8" s="465">
        <f>+SUMIF($L$14:$L$817,"recommended",$P$14:$P$817)</f>
        <v>8626047</v>
      </c>
      <c r="Q8" s="465">
        <f>+SUMIF($L$14:$L$817,"recommended",$Q$14:$Q$817)</f>
        <v>79136547</v>
      </c>
      <c r="R8" s="515">
        <v>290226</v>
      </c>
      <c r="V8" s="89" t="s">
        <v>6</v>
      </c>
      <c r="W8" s="16">
        <f>SUMIF(F14:F311,"Rural",Q14:Q311)</f>
        <v>15880798</v>
      </c>
      <c r="X8" s="263">
        <f>W8/CEILING!L61</f>
        <v>0.20051561446244864</v>
      </c>
      <c r="AA8" s="127"/>
      <c r="AB8" s="127"/>
      <c r="AC8" s="127"/>
      <c r="AD8" s="127"/>
    </row>
    <row r="9" spans="1:48">
      <c r="C9" s="457">
        <v>43494</v>
      </c>
      <c r="L9" s="496" t="s">
        <v>31</v>
      </c>
      <c r="N9" s="465">
        <f>+N7-N8</f>
        <v>15979294.170000017</v>
      </c>
      <c r="O9" s="465">
        <f>+O7-O8</f>
        <v>-3524817.7499072794</v>
      </c>
      <c r="P9" s="464">
        <f>+P7-P8+CEILING!Q62</f>
        <v>353486.17000001669</v>
      </c>
      <c r="Q9" s="464">
        <f>N7-Q8</f>
        <v>63260.170000016689</v>
      </c>
      <c r="R9" s="515">
        <f>Q9+R8</f>
        <v>353486.17000001669</v>
      </c>
      <c r="S9" s="580" t="s">
        <v>131</v>
      </c>
      <c r="T9" s="580"/>
      <c r="U9" s="426"/>
      <c r="V9" s="26" t="s">
        <v>119</v>
      </c>
      <c r="W9" s="16">
        <f>SUMIF(I14:I311,"X",Q14:Q311)</f>
        <v>19754645</v>
      </c>
      <c r="X9" s="263">
        <f>W9/CEILING!L61</f>
        <v>0.24942794314634184</v>
      </c>
      <c r="AA9" s="127"/>
      <c r="AB9" s="127"/>
      <c r="AC9" s="127"/>
      <c r="AD9" s="119"/>
    </row>
    <row r="10" spans="1:48" ht="72" customHeight="1">
      <c r="A10" s="22" t="s">
        <v>0</v>
      </c>
      <c r="B10" s="22" t="s">
        <v>30</v>
      </c>
      <c r="C10" s="110" t="s">
        <v>29</v>
      </c>
      <c r="D10" s="111" t="s">
        <v>28</v>
      </c>
      <c r="E10" s="111" t="s">
        <v>55</v>
      </c>
      <c r="F10" s="279" t="s">
        <v>118</v>
      </c>
      <c r="G10" s="112" t="s">
        <v>40</v>
      </c>
      <c r="H10" s="112" t="s">
        <v>41</v>
      </c>
      <c r="I10" s="112" t="s">
        <v>705</v>
      </c>
      <c r="J10" s="521" t="s">
        <v>719</v>
      </c>
      <c r="K10" s="505" t="s">
        <v>69</v>
      </c>
      <c r="L10" s="497" t="s">
        <v>67</v>
      </c>
      <c r="M10" s="299" t="s">
        <v>716</v>
      </c>
      <c r="N10" s="479" t="s">
        <v>1</v>
      </c>
      <c r="O10" s="112" t="s">
        <v>2</v>
      </c>
      <c r="P10" s="113" t="s">
        <v>3</v>
      </c>
      <c r="Q10" s="466" t="s">
        <v>32</v>
      </c>
      <c r="R10" s="114" t="s">
        <v>720</v>
      </c>
      <c r="S10" s="276" t="s">
        <v>130</v>
      </c>
      <c r="T10" s="276" t="s">
        <v>129</v>
      </c>
      <c r="U10" s="276" t="s">
        <v>714</v>
      </c>
      <c r="W10" s="16"/>
      <c r="X10" s="263"/>
      <c r="AA10" s="125"/>
      <c r="AB10" s="125"/>
      <c r="AC10" s="125"/>
      <c r="AD10" s="119"/>
    </row>
    <row r="11" spans="1:48" ht="6" customHeight="1">
      <c r="M11" s="243"/>
      <c r="S11" s="580"/>
      <c r="T11" s="580"/>
      <c r="U11" s="426"/>
      <c r="V11" s="89"/>
    </row>
    <row r="12" spans="1:48" ht="15.75">
      <c r="C12" s="354" t="s">
        <v>4</v>
      </c>
      <c r="D12" s="31"/>
      <c r="J12" s="23" t="s">
        <v>16</v>
      </c>
      <c r="K12" s="465">
        <f>+CEILING!L59</f>
        <v>11530083.6</v>
      </c>
      <c r="M12" s="243"/>
      <c r="O12" s="23" t="s">
        <v>133</v>
      </c>
      <c r="P12" s="465">
        <f>CEILING!G60</f>
        <v>3867335.2</v>
      </c>
      <c r="S12" s="275"/>
      <c r="T12" s="275"/>
      <c r="U12" s="275"/>
      <c r="V12" s="89"/>
      <c r="W12" s="21"/>
      <c r="X12" s="21"/>
    </row>
    <row r="13" spans="1:48" ht="15.75" customHeight="1">
      <c r="A13" s="24" t="e">
        <f>VLOOKUP($C13,#REF!,2,FALSE)</f>
        <v>#REF!</v>
      </c>
      <c r="B13" s="24" t="e">
        <f>VLOOKUP($C13,#REF!,6,FALSE)</f>
        <v>#REF!</v>
      </c>
      <c r="C13" s="361"/>
      <c r="D13" s="357"/>
      <c r="E13" s="357"/>
      <c r="F13" s="356"/>
      <c r="G13" s="362"/>
      <c r="H13" s="362"/>
      <c r="I13" s="357"/>
      <c r="J13" s="522"/>
      <c r="K13" s="471"/>
      <c r="L13" s="471"/>
      <c r="M13" s="370"/>
      <c r="N13" s="471"/>
      <c r="O13" s="357"/>
      <c r="P13" s="357"/>
      <c r="Q13" s="467"/>
      <c r="R13" s="363"/>
      <c r="V13" s="260"/>
      <c r="W13" s="117"/>
      <c r="X13" s="259"/>
    </row>
    <row r="14" spans="1:48" ht="12.75">
      <c r="A14" s="24" t="e">
        <f>VLOOKUP(#REF!,#REF!,2,FALSE)</f>
        <v>#REF!</v>
      </c>
      <c r="B14" s="120" t="e">
        <f>VLOOKUP(#REF!,#REF!,6,FALSE)</f>
        <v>#REF!</v>
      </c>
      <c r="C14" s="409">
        <v>18249</v>
      </c>
      <c r="D14" s="376" t="str">
        <f>VLOOKUP($C14,'DB Link APP'!$A$2:$T$323,2,FALSE)</f>
        <v>Sweetwater Apartments</v>
      </c>
      <c r="E14" s="376" t="str">
        <f>VLOOKUP($C14,'DB Link APP'!$A$2:$T$323,17,FALSE)</f>
        <v>Murray Calhoun</v>
      </c>
      <c r="F14" s="376" t="str">
        <f>VLOOKUP(C14,'DB Link APP'!$A$3:$U$140,8,FALSE)</f>
        <v>Rural</v>
      </c>
      <c r="G14" s="377" t="str">
        <f>IF(VLOOKUP($C14,'DB Link APP'!$A$2:$T$323,9,FALSE)=0,"",VLOOKUP($C14,'DB Link APP'!$A$2:$T$323,9,FALSE))</f>
        <v/>
      </c>
      <c r="H14" s="377" t="s">
        <v>162</v>
      </c>
      <c r="I14" s="377"/>
      <c r="J14" s="520" t="str">
        <f>IF(VLOOKUP($C14,'DB Link APP'!$A$2:$N$149,13,FALSE)="General","",VLOOKUP($C14,'DB Link APP'!$A$2:$N$149,13,FALSE))</f>
        <v/>
      </c>
      <c r="K14" s="506">
        <f>VLOOKUP($C14,'DB Link APP'!$A$2:$T$323,16,FALSE)</f>
        <v>266484</v>
      </c>
      <c r="L14" s="485">
        <f>IF(ISNA(VLOOKUP(C14,'UW Rec Amts'!$A$2:$D$112,4,FALSE)),"",VLOOKUP(C14,'UW Rec Amts'!$A$2:$D$112,4,FALSE))</f>
        <v>266484</v>
      </c>
      <c r="M14" s="246"/>
      <c r="N14" s="480">
        <f>L14</f>
        <v>266484</v>
      </c>
      <c r="O14" s="118"/>
      <c r="P14" s="118"/>
      <c r="Q14" s="468">
        <f>+SUM(N14:P14)</f>
        <v>266484</v>
      </c>
      <c r="R14" s="380" t="str">
        <f>+IF(N14&gt;0,"I",IF(O14&gt;0,"R",IF(P14&gt;0,"SW","")))</f>
        <v>I</v>
      </c>
      <c r="S14" s="267" t="str">
        <f>IF(VLOOKUP($C14,'REA-PPR'!$A$2:$E$149,3,FALSE)="","",VLOOKUP($C14,'REA-PPR'!$A$2:$E$149,3,FALSE))</f>
        <v/>
      </c>
      <c r="T14" s="267" t="str">
        <f>IF(VLOOKUP($C14,'REA-PPR'!$A$2:$E$149,4,FALSE)="","",VLOOKUP($C14,'REA-PPR'!$A$2:$E$149,4,FALSE))</f>
        <v/>
      </c>
      <c r="U14" s="378" t="str">
        <f>IF(VLOOKUP($C14,'REA-PPR'!$A$2:$E$149,5,FALSE)="","No",VLOOKUP($C14,'REA-PPR'!$A$2:$E$149,5,FALSE))</f>
        <v>No</v>
      </c>
      <c r="V14" s="89"/>
      <c r="W14" s="259"/>
      <c r="X14" s="259"/>
      <c r="Z14" s="21"/>
    </row>
    <row r="15" spans="1:48" ht="12.75">
      <c r="A15" s="24"/>
      <c r="B15" s="120"/>
      <c r="C15" s="375">
        <v>18039</v>
      </c>
      <c r="D15" s="376" t="str">
        <f>VLOOKUP($C15,'DB Link APP'!$A$2:$T$323,2,FALSE)</f>
        <v>Orchid Circle Homes &amp; Las Palmas Homes</v>
      </c>
      <c r="E15" s="376" t="str">
        <f>VLOOKUP($C15,'DB Link APP'!$A$2:$T$323,17,FALSE)</f>
        <v>Art Schuldt, Jr.</v>
      </c>
      <c r="F15" s="376" t="str">
        <f>VLOOKUP(C15,'DB Link APP'!$A$3:$U$140,8,FALSE)</f>
        <v>Rural</v>
      </c>
      <c r="G15" s="377" t="str">
        <f>IF(VLOOKUP($C15,'DB Link APP'!$A$2:$T$323,9,FALSE)=0,"",VLOOKUP($C15,'DB Link APP'!$A$2:$T$323,9,FALSE))</f>
        <v>x</v>
      </c>
      <c r="H15" s="377" t="str">
        <f>IF(VLOOKUP($C15,'DB Link APP'!$A$2:$T$323,10,FALSE)=0,"",VLOOKUP($C15,'DB Link APP'!$A$2:$T$323,10,FALSE))</f>
        <v/>
      </c>
      <c r="I15" s="377" t="str">
        <f>IF(VLOOKUP($C15,'DB Link APP'!$A$2:$T$323,11,FALSE)=0,"",VLOOKUP($C15,'DB Link APP'!$A$2:$T$323,11,FALSE))</f>
        <v/>
      </c>
      <c r="J15" s="520" t="str">
        <f>IF(VLOOKUP($C15,'DB Link APP'!$A$2:$N$149,13,FALSE)="General","",VLOOKUP($C15,'DB Link APP'!$A$2:$N$149,13,FALSE))</f>
        <v/>
      </c>
      <c r="K15" s="506">
        <f>VLOOKUP($C15,'DB Link APP'!$A$2:$T$323,16,FALSE)</f>
        <v>700000</v>
      </c>
      <c r="L15" s="485">
        <f>IF(ISNA(VLOOKUP(C15,'UW Rec Amts'!$A$2:$D$112,4,FALSE)),"",VLOOKUP(C15,'UW Rec Amts'!$A$2:$D$112,4,FALSE))</f>
        <v>700000</v>
      </c>
      <c r="M15" s="246"/>
      <c r="N15" s="480">
        <f>L15</f>
        <v>700000</v>
      </c>
      <c r="O15" s="118"/>
      <c r="P15" s="118"/>
      <c r="Q15" s="468">
        <f>+SUM(N15:P15)</f>
        <v>700000</v>
      </c>
      <c r="R15" s="380" t="str">
        <f>+IF(N15&gt;0,"I",IF(O15&gt;0,"R",IF(P15&gt;0,"SW","")))</f>
        <v>I</v>
      </c>
      <c r="S15" s="267" t="str">
        <f>IF(VLOOKUP($C15,'REA-PPR'!$A$2:$E$149,3,FALSE)="","",VLOOKUP($C15,'REA-PPR'!$A$2:$E$149,3,FALSE))</f>
        <v/>
      </c>
      <c r="U15" s="378" t="str">
        <f>IF(VLOOKUP($C15,'REA-PPR'!$A$2:$E$149,5,FALSE)="","No",VLOOKUP($C15,'REA-PPR'!$A$2:$E$149,5,FALSE))</f>
        <v>No</v>
      </c>
      <c r="V15" s="89"/>
      <c r="W15" s="21"/>
      <c r="Z15" s="21"/>
    </row>
    <row r="16" spans="1:48" ht="12.75">
      <c r="A16" s="24"/>
      <c r="B16" s="120"/>
      <c r="C16" s="375">
        <v>18013</v>
      </c>
      <c r="D16" s="376" t="str">
        <f>VLOOKUP($C16,'DB Link APP'!$A$2:$T$323,2,FALSE)</f>
        <v>Dayton  Retirement Center</v>
      </c>
      <c r="E16" s="376" t="str">
        <f>VLOOKUP($C16,'DB Link APP'!$A$2:$T$323,17,FALSE)</f>
        <v>Charles Holcomb</v>
      </c>
      <c r="F16" s="376" t="str">
        <f>VLOOKUP(C16,'DB Link APP'!$A$3:$U$140,8,FALSE)</f>
        <v>Rural</v>
      </c>
      <c r="G16" s="377" t="str">
        <f>IF(VLOOKUP($C16,'DB Link APP'!$A$2:$T$323,9,FALSE)=0,"",VLOOKUP($C16,'DB Link APP'!$A$2:$T$323,9,FALSE))</f>
        <v/>
      </c>
      <c r="H16" s="377" t="s">
        <v>162</v>
      </c>
      <c r="I16" s="377"/>
      <c r="J16" s="520" t="str">
        <f>IF(VLOOKUP($C16,'DB Link APP'!$A$2:$N$149,13,FALSE)="General","",VLOOKUP($C16,'DB Link APP'!$A$2:$N$149,13,FALSE))</f>
        <v>Elderly Limitation</v>
      </c>
      <c r="K16" s="506">
        <f>VLOOKUP($C16,'DB Link APP'!$A$2:$T$323,16,FALSE)</f>
        <v>373500</v>
      </c>
      <c r="L16" s="485">
        <f>IF(ISNA(VLOOKUP(C16,'UW Rec Amts'!$A$2:$D$112,4,FALSE)),"",VLOOKUP(C16,'UW Rec Amts'!$A$2:$D$112,4,FALSE))</f>
        <v>279322</v>
      </c>
      <c r="M16" s="246"/>
      <c r="N16" s="480">
        <f t="shared" ref="N16:N20" si="0">L16</f>
        <v>279322</v>
      </c>
      <c r="O16" s="118"/>
      <c r="P16" s="118"/>
      <c r="Q16" s="468">
        <f t="shared" ref="Q16:Q20" si="1">+SUM(N16:P16)</f>
        <v>279322</v>
      </c>
      <c r="R16" s="380" t="str">
        <f t="shared" ref="R16:R20" si="2">+IF(N16&gt;0,"I",IF(O16&gt;0,"R",IF(P16&gt;0,"SW","")))</f>
        <v>I</v>
      </c>
      <c r="S16" s="267" t="str">
        <f>IF(VLOOKUP($C16,'REA-PPR'!$A$2:$E$149,3,FALSE)="","",VLOOKUP($C16,'REA-PPR'!$A$2:$E$149,3,FALSE))</f>
        <v/>
      </c>
      <c r="U16" s="378" t="str">
        <f>IF(VLOOKUP($C16,'REA-PPR'!$A$2:$E$149,5,FALSE)="","No",VLOOKUP($C16,'REA-PPR'!$A$2:$E$149,5,FALSE))</f>
        <v>No</v>
      </c>
      <c r="V16" s="280"/>
      <c r="Z16" s="21"/>
    </row>
    <row r="17" spans="1:27" ht="12.75">
      <c r="A17" s="24"/>
      <c r="B17" s="120"/>
      <c r="C17" s="375">
        <v>18118</v>
      </c>
      <c r="D17" s="376" t="str">
        <f>VLOOKUP($C17,'DB Link APP'!$A$2:$T$323,2,FALSE)</f>
        <v xml:space="preserve">Sandstone Foothills Apartments </v>
      </c>
      <c r="E17" s="376" t="str">
        <f>VLOOKUP($C17,'DB Link APP'!$A$2:$T$323,17,FALSE)</f>
        <v>Tracey Fine</v>
      </c>
      <c r="F17" s="376" t="str">
        <f>VLOOKUP(C17,'DB Link APP'!$A$3:$U$140,8,FALSE)</f>
        <v>Rural</v>
      </c>
      <c r="G17" s="377" t="str">
        <f>IF(VLOOKUP($C17,'DB Link APP'!$A$2:$T$323,9,FALSE)=0,"",VLOOKUP($C17,'DB Link APP'!$A$2:$T$323,9,FALSE))</f>
        <v>x</v>
      </c>
      <c r="H17" s="377" t="str">
        <f>IF(VLOOKUP($C17,'DB Link APP'!$A$2:$T$323,10,FALSE)=0,"",VLOOKUP($C17,'DB Link APP'!$A$2:$T$323,10,FALSE))</f>
        <v/>
      </c>
      <c r="I17" s="377" t="str">
        <f>IF(VLOOKUP($C17,'DB Link APP'!$A$2:$T$323,11,FALSE)=0,"",VLOOKUP($C17,'DB Link APP'!$A$2:$T$323,11,FALSE))</f>
        <v/>
      </c>
      <c r="J17" s="520" t="str">
        <f>IF(VLOOKUP($C17,'DB Link APP'!$A$2:$N$149,13,FALSE)="General","",VLOOKUP($C17,'DB Link APP'!$A$2:$N$149,13,FALSE))</f>
        <v>Elderly Preference</v>
      </c>
      <c r="K17" s="506">
        <f>VLOOKUP($C17,'DB Link APP'!$A$2:$T$323,16,FALSE)</f>
        <v>471893.31</v>
      </c>
      <c r="L17" s="485">
        <f>IF(ISNA(VLOOKUP(C17,'UW Rec Amts'!$A$2:$D$112,4,FALSE)),"",VLOOKUP(C17,'UW Rec Amts'!$A$2:$D$112,4,FALSE))</f>
        <v>458783</v>
      </c>
      <c r="M17" s="246"/>
      <c r="N17" s="480">
        <f t="shared" si="0"/>
        <v>458783</v>
      </c>
      <c r="O17" s="118"/>
      <c r="P17" s="118"/>
      <c r="Q17" s="468">
        <f t="shared" si="1"/>
        <v>458783</v>
      </c>
      <c r="R17" s="380" t="str">
        <f t="shared" si="2"/>
        <v>I</v>
      </c>
      <c r="S17" s="267" t="str">
        <f>IF(VLOOKUP($C17,'REA-PPR'!$A$2:$E$149,3,FALSE)="","",VLOOKUP($C17,'REA-PPR'!$A$2:$E$149,3,FALSE))</f>
        <v/>
      </c>
      <c r="U17" s="378" t="str">
        <f>IF(VLOOKUP($C17,'REA-PPR'!$A$2:$E$149,5,FALSE)="","No",VLOOKUP($C17,'REA-PPR'!$A$2:$E$149,5,FALSE))</f>
        <v>No</v>
      </c>
      <c r="Z17" s="21"/>
    </row>
    <row r="18" spans="1:27" ht="12.75">
      <c r="A18" s="24"/>
      <c r="B18" s="120"/>
      <c r="C18" s="375">
        <v>18077</v>
      </c>
      <c r="D18" s="376" t="str">
        <f>VLOOKUP($C18,'DB Link APP'!$A$2:$T$323,2,FALSE)</f>
        <v>Park Forest</v>
      </c>
      <c r="E18" s="376" t="str">
        <f>VLOOKUP($C18,'DB Link APP'!$A$2:$T$323,17,FALSE)</f>
        <v>Devin Baker</v>
      </c>
      <c r="F18" s="376" t="str">
        <f>VLOOKUP(C18,'DB Link APP'!$A$3:$U$140,8,FALSE)</f>
        <v>Rural</v>
      </c>
      <c r="G18" s="377" t="str">
        <f>IF(VLOOKUP($C18,'DB Link APP'!$A$2:$T$323,9,FALSE)=0,"",VLOOKUP($C18,'DB Link APP'!$A$2:$T$323,9,FALSE))</f>
        <v/>
      </c>
      <c r="H18" s="377" t="s">
        <v>162</v>
      </c>
      <c r="I18" s="377"/>
      <c r="J18" s="520" t="str">
        <f>IF(VLOOKUP($C18,'DB Link APP'!$A$2:$N$149,13,FALSE)="General","",VLOOKUP($C18,'DB Link APP'!$A$2:$N$149,13,FALSE))</f>
        <v/>
      </c>
      <c r="K18" s="506">
        <f>VLOOKUP($C18,'DB Link APP'!$A$2:$T$323,16,FALSE)</f>
        <v>458634.6</v>
      </c>
      <c r="L18" s="485">
        <f>IF(ISNA(VLOOKUP(C18,'UW Rec Amts'!$A$2:$D$112,4,FALSE)),"",VLOOKUP(C18,'UW Rec Amts'!$A$2:$D$112,4,FALSE))</f>
        <v>458047</v>
      </c>
      <c r="M18" s="246"/>
      <c r="N18" s="480">
        <f t="shared" si="0"/>
        <v>458047</v>
      </c>
      <c r="O18" s="118"/>
      <c r="P18" s="118"/>
      <c r="Q18" s="468">
        <f t="shared" si="1"/>
        <v>458047</v>
      </c>
      <c r="R18" s="380" t="str">
        <f t="shared" si="2"/>
        <v>I</v>
      </c>
      <c r="S18" s="267" t="str">
        <f>IF(VLOOKUP($C18,'REA-PPR'!$A$2:$E$149,3,FALSE)="","",VLOOKUP($C18,'REA-PPR'!$A$2:$E$149,3,FALSE))</f>
        <v/>
      </c>
      <c r="U18" s="378" t="str">
        <f>IF(VLOOKUP($C18,'REA-PPR'!$A$2:$E$149,5,FALSE)="","No",VLOOKUP($C18,'REA-PPR'!$A$2:$E$149,5,FALSE))</f>
        <v>No</v>
      </c>
      <c r="Z18" s="21"/>
    </row>
    <row r="19" spans="1:27" ht="12.75">
      <c r="A19" s="24"/>
      <c r="B19" s="120"/>
      <c r="C19" s="409">
        <v>18251</v>
      </c>
      <c r="D19" s="376" t="str">
        <f>VLOOKUP($C19,'DB Link APP'!$A$2:$T$323,2,FALSE)</f>
        <v>Groveton Seniors Apartments</v>
      </c>
      <c r="E19" s="376" t="str">
        <f>VLOOKUP($C19,'DB Link APP'!$A$2:$T$323,17,FALSE)</f>
        <v>Murray Calhoun</v>
      </c>
      <c r="F19" s="376" t="str">
        <f>VLOOKUP(C19,'DB Link APP'!$A$3:$U$140,8,FALSE)</f>
        <v>Rural</v>
      </c>
      <c r="G19" s="377" t="str">
        <f>IF(VLOOKUP($C19,'DB Link APP'!$A$2:$T$323,9,FALSE)=0,"",VLOOKUP($C19,'DB Link APP'!$A$2:$T$323,9,FALSE))</f>
        <v/>
      </c>
      <c r="H19" s="377" t="s">
        <v>162</v>
      </c>
      <c r="I19" s="377"/>
      <c r="J19" s="520" t="str">
        <f>IF(VLOOKUP($C19,'DB Link APP'!$A$2:$N$149,13,FALSE)="General","",VLOOKUP($C19,'DB Link APP'!$A$2:$N$149,13,FALSE))</f>
        <v>Elderly Preference</v>
      </c>
      <c r="K19" s="506">
        <f>VLOOKUP($C19,'DB Link APP'!$A$2:$T$323,16,FALSE)</f>
        <v>304668</v>
      </c>
      <c r="L19" s="485">
        <f>IF(ISNA(VLOOKUP(C19,'UW Rec Amts'!$A$2:$D$112,4,FALSE)),"",VLOOKUP(C19,'UW Rec Amts'!$A$2:$D$112,4,FALSE))</f>
        <v>298953</v>
      </c>
      <c r="M19" s="246"/>
      <c r="N19" s="480">
        <f>L19</f>
        <v>298953</v>
      </c>
      <c r="O19" s="118"/>
      <c r="P19" s="118"/>
      <c r="Q19" s="469">
        <f>+SUM(N19:P19)</f>
        <v>298953</v>
      </c>
      <c r="R19" s="380" t="str">
        <f>+IF(N19&gt;0,"I",IF(O19&gt;0,"R",IF(P19&gt;0,"SW","")))</f>
        <v>I</v>
      </c>
      <c r="S19" s="267" t="str">
        <f>IF(VLOOKUP($C19,'REA-PPR'!$A$2:$E$149,3,FALSE)="","",VLOOKUP($C19,'REA-PPR'!$A$2:$E$149,3,FALSE))</f>
        <v/>
      </c>
      <c r="U19" s="378" t="str">
        <f>IF(VLOOKUP($C19,'REA-PPR'!$A$2:$E$149,5,FALSE)="","No",VLOOKUP($C19,'REA-PPR'!$A$2:$E$149,5,FALSE))</f>
        <v>No</v>
      </c>
      <c r="V19" s="281"/>
      <c r="Z19" s="21"/>
    </row>
    <row r="20" spans="1:27" ht="12.75">
      <c r="A20" s="24"/>
      <c r="B20" s="120"/>
      <c r="C20" s="375">
        <v>18171</v>
      </c>
      <c r="D20" s="376" t="str">
        <f>VLOOKUP($C20,'DB Link APP'!$A$2:$T$323,2,FALSE)</f>
        <v>Pointsettia Gardens at Boca Chica</v>
      </c>
      <c r="E20" s="376" t="str">
        <f>VLOOKUP($C20,'DB Link APP'!$A$2:$T$323,17,FALSE)</f>
        <v>Carla Mancha</v>
      </c>
      <c r="F20" s="376" t="str">
        <f>VLOOKUP(C20,'DB Link APP'!$A$3:$U$140,8,FALSE)</f>
        <v>Urban</v>
      </c>
      <c r="G20" s="377" t="str">
        <f>IF(VLOOKUP($C20,'DB Link APP'!$A$2:$T$323,9,FALSE)=0,"",VLOOKUP($C20,'DB Link APP'!$A$2:$T$323,9,FALSE))</f>
        <v>x</v>
      </c>
      <c r="H20" s="377"/>
      <c r="I20" s="377" t="s">
        <v>162</v>
      </c>
      <c r="J20" s="520" t="str">
        <f>IF(VLOOKUP($C20,'DB Link APP'!$A$2:$N$149,13,FALSE)="General","",VLOOKUP($C20,'DB Link APP'!$A$2:$N$149,13,FALSE))</f>
        <v/>
      </c>
      <c r="K20" s="506">
        <f>VLOOKUP($C20,'DB Link APP'!$A$2:$T$323,16,FALSE)</f>
        <v>2000000</v>
      </c>
      <c r="L20" s="485">
        <f>IF(ISNA(VLOOKUP(C20,'UW Rec Amts'!$A$2:$D$112,4,FALSE)),"",VLOOKUP(C20,'UW Rec Amts'!$A$2:$D$112,4,FALSE))</f>
        <v>2000000</v>
      </c>
      <c r="M20" s="246"/>
      <c r="N20" s="480">
        <f t="shared" si="0"/>
        <v>2000000</v>
      </c>
      <c r="O20" s="118"/>
      <c r="P20" s="118"/>
      <c r="Q20" s="468">
        <f t="shared" si="1"/>
        <v>2000000</v>
      </c>
      <c r="R20" s="380" t="str">
        <f t="shared" si="2"/>
        <v>I</v>
      </c>
      <c r="S20" s="267" t="str">
        <f>IF(VLOOKUP($C20,'REA-PPR'!$A$2:$E$149,3,FALSE)="","",VLOOKUP($C20,'REA-PPR'!$A$2:$E$149,3,FALSE))</f>
        <v/>
      </c>
      <c r="U20" s="378" t="str">
        <f>IF(VLOOKUP($C20,'REA-PPR'!$A$2:$E$149,5,FALSE)="","No",VLOOKUP($C20,'REA-PPR'!$A$2:$E$149,5,FALSE))</f>
        <v>No</v>
      </c>
      <c r="V20" s="260"/>
      <c r="W20" s="259"/>
      <c r="X20" s="261"/>
      <c r="Z20" s="21"/>
    </row>
    <row r="21" spans="1:27" ht="12.75">
      <c r="A21" s="24"/>
      <c r="B21" s="120"/>
      <c r="C21" s="409">
        <v>18250</v>
      </c>
      <c r="D21" s="376" t="str">
        <f>VLOOKUP($C21,'DB Link APP'!$A$2:$T$323,2,FALSE)</f>
        <v>Sweetbriar Hills Apartments</v>
      </c>
      <c r="E21" s="376" t="str">
        <f>VLOOKUP($C21,'DB Link APP'!$A$2:$T$323,17,FALSE)</f>
        <v>Murray Calhoun</v>
      </c>
      <c r="F21" s="376" t="str">
        <f>VLOOKUP(C21,'DB Link APP'!$A$3:$U$140,8,FALSE)</f>
        <v>Rural</v>
      </c>
      <c r="G21" s="377" t="str">
        <f>IF(VLOOKUP($C21,'DB Link APP'!$A$2:$T$323,9,FALSE)=0,"",VLOOKUP($C21,'DB Link APP'!$A$2:$T$323,9,FALSE))</f>
        <v/>
      </c>
      <c r="H21" s="377" t="s">
        <v>162</v>
      </c>
      <c r="I21" s="377"/>
      <c r="J21" s="520" t="str">
        <f>IF(VLOOKUP($C21,'DB Link APP'!$A$2:$N$149,13,FALSE)="General","",VLOOKUP($C21,'DB Link APP'!$A$2:$N$149,13,FALSE))</f>
        <v/>
      </c>
      <c r="K21" s="506">
        <f>VLOOKUP($C21,'DB Link APP'!$A$2:$T$323,16,FALSE)</f>
        <v>590473</v>
      </c>
      <c r="L21" s="485">
        <f>IF(ISNA(VLOOKUP(C21,'UW Rec Amts'!$A$2:$D$112,4,FALSE)),"",VLOOKUP(C21,'UW Rec Amts'!$A$2:$D$112,4,FALSE))</f>
        <v>550735</v>
      </c>
      <c r="M21" s="246"/>
      <c r="N21" s="480">
        <f>L21</f>
        <v>550735</v>
      </c>
      <c r="O21" s="118"/>
      <c r="P21" s="118"/>
      <c r="Q21" s="468">
        <f t="shared" ref="Q21" si="3">+SUM(N21:P21)</f>
        <v>550735</v>
      </c>
      <c r="R21" s="380" t="str">
        <f t="shared" ref="R21" si="4">+IF(N21&gt;0,"I",IF(O21&gt;0,"R",IF(P21&gt;0,"SW","")))</f>
        <v>I</v>
      </c>
      <c r="S21" s="267" t="str">
        <f>IF(VLOOKUP($C21,'REA-PPR'!$A$2:$E$149,3,FALSE)="","",VLOOKUP($C21,'REA-PPR'!$A$2:$E$149,3,FALSE))</f>
        <v/>
      </c>
      <c r="U21" s="378" t="str">
        <f>IF(VLOOKUP($C21,'REA-PPR'!$A$2:$E$149,5,FALSE)="","No",VLOOKUP($C21,'REA-PPR'!$A$2:$E$149,5,FALSE))</f>
        <v>No</v>
      </c>
      <c r="Z21" s="21"/>
    </row>
    <row r="22" spans="1:27" ht="12.75">
      <c r="A22" s="24"/>
      <c r="B22" s="120"/>
      <c r="C22" s="409">
        <v>18235</v>
      </c>
      <c r="D22" s="376" t="str">
        <f>VLOOKUP($C22,'DB Link APP'!$A$2:$T$323,2,FALSE)</f>
        <v>Memorial Apartments II</v>
      </c>
      <c r="E22" s="376" t="str">
        <f>VLOOKUP($C22,'DB Link APP'!$A$2:$T$323,17,FALSE)</f>
        <v>Melissa Fisher</v>
      </c>
      <c r="F22" s="376" t="str">
        <f>VLOOKUP(C22,'DB Link APP'!$A$3:$U$140,8,FALSE)</f>
        <v>Urban</v>
      </c>
      <c r="G22" s="377" t="str">
        <f>IF(VLOOKUP($C22,'DB Link APP'!$A$2:$T$323,9,FALSE)=0,"",VLOOKUP($C22,'DB Link APP'!$A$2:$T$323,9,FALSE))</f>
        <v>x</v>
      </c>
      <c r="H22" s="377" t="s">
        <v>162</v>
      </c>
      <c r="I22" s="377"/>
      <c r="J22" s="520" t="str">
        <f>IF(VLOOKUP($C22,'DB Link APP'!$A$2:$N$149,13,FALSE)="General","",VLOOKUP($C22,'DB Link APP'!$A$2:$N$149,13,FALSE))</f>
        <v/>
      </c>
      <c r="K22" s="506">
        <f>VLOOKUP($C22,'DB Link APP'!$A$2:$T$323,16,FALSE)</f>
        <v>1883683</v>
      </c>
      <c r="L22" s="485">
        <f>IF(ISNA(VLOOKUP(C22,'UW Rec Amts'!$A$2:$D$112,4,FALSE)),"",VLOOKUP(C22,'UW Rec Amts'!$A$2:$D$112,4,FALSE))</f>
        <v>1883683</v>
      </c>
      <c r="M22" s="246"/>
      <c r="N22" s="480">
        <f>L22</f>
        <v>1883683</v>
      </c>
      <c r="O22" s="118"/>
      <c r="P22" s="118"/>
      <c r="Q22" s="468">
        <f>+SUM(N22:P22)</f>
        <v>1883683</v>
      </c>
      <c r="R22" s="380" t="str">
        <f>+IF(N22&gt;0,"I",IF(O22&gt;0,"R",IF(P22&gt;0,"SW","")))</f>
        <v>I</v>
      </c>
      <c r="S22" s="267" t="str">
        <f>IF(VLOOKUP($C22,'REA-PPR'!$A$2:$E$149,3,FALSE)="","",VLOOKUP($C22,'REA-PPR'!$A$2:$E$149,3,FALSE))</f>
        <v/>
      </c>
      <c r="U22" s="378" t="str">
        <f>IF(VLOOKUP($C22,'REA-PPR'!$A$2:$E$149,5,FALSE)="","No",VLOOKUP($C22,'REA-PPR'!$A$2:$E$149,5,FALSE))</f>
        <v>No</v>
      </c>
      <c r="V22" s="280"/>
      <c r="Z22" s="21"/>
    </row>
    <row r="23" spans="1:27" ht="14.25" customHeight="1">
      <c r="A23" s="24" t="e">
        <f>VLOOKUP($C23,#REF!,2,FALSE)</f>
        <v>#REF!</v>
      </c>
      <c r="B23" s="24" t="e">
        <f>VLOOKUP($C23,#REF!,6,FALSE)</f>
        <v>#REF!</v>
      </c>
      <c r="C23" s="364"/>
      <c r="D23" s="365"/>
      <c r="E23" s="365"/>
      <c r="F23" s="366"/>
      <c r="G23" s="367"/>
      <c r="H23" s="371"/>
      <c r="I23" s="365"/>
      <c r="J23" s="523"/>
      <c r="K23" s="481"/>
      <c r="L23" s="481" t="str">
        <f>IF(ISNA(VLOOKUP(C23,'UW Rec Amts'!$A$3:$C$25,2,FALSE)),"",VLOOKUP(C23,'UW Rec Amts'!$A$3:$C$25,2,FALSE))</f>
        <v/>
      </c>
      <c r="M23" s="372"/>
      <c r="N23" s="481"/>
      <c r="O23" s="365"/>
      <c r="P23" s="365"/>
      <c r="Q23" s="470"/>
      <c r="R23" s="368"/>
      <c r="U23" s="378"/>
    </row>
    <row r="24" spans="1:27">
      <c r="J24" s="23" t="s">
        <v>18</v>
      </c>
      <c r="K24" s="465">
        <f>SUM(K14:K22)</f>
        <v>7049335.9100000001</v>
      </c>
      <c r="L24" s="498" t="s">
        <v>19</v>
      </c>
      <c r="M24" s="243"/>
      <c r="N24" s="465">
        <f>SUM(N14:N22)</f>
        <v>6896007</v>
      </c>
      <c r="O24" s="246">
        <f>+N24/K12</f>
        <v>0.59808820466835122</v>
      </c>
      <c r="Q24" s="465">
        <f>+SUM(N13:N23)</f>
        <v>6896007</v>
      </c>
      <c r="R24" s="25"/>
      <c r="S24" s="267"/>
      <c r="U24" s="378"/>
      <c r="V24" s="89">
        <f>Q24-Q25</f>
        <v>3158783</v>
      </c>
      <c r="W24" s="268"/>
      <c r="Z24" s="21"/>
      <c r="AA24" s="21"/>
    </row>
    <row r="25" spans="1:27">
      <c r="L25" s="498" t="s">
        <v>23</v>
      </c>
      <c r="M25" s="243"/>
      <c r="N25" s="465">
        <f>SUMIF(H14:H22,"X",N14:N22)</f>
        <v>3737224</v>
      </c>
      <c r="O25" s="246">
        <f>+N25/P12</f>
        <v>0.96635636859199581</v>
      </c>
      <c r="Q25" s="465">
        <f>SUMIF(H14:H22,"X",N14:N22)</f>
        <v>3737224</v>
      </c>
      <c r="R25" s="256"/>
      <c r="S25" s="267"/>
      <c r="U25" s="378"/>
      <c r="V25" s="182"/>
    </row>
    <row r="26" spans="1:27" ht="6.75" customHeight="1">
      <c r="M26" s="243"/>
      <c r="U26" s="378"/>
    </row>
    <row r="27" spans="1:27" ht="15.75">
      <c r="A27" s="32"/>
      <c r="B27" s="32"/>
      <c r="C27" s="354" t="s">
        <v>17</v>
      </c>
      <c r="D27" s="31" t="s">
        <v>6</v>
      </c>
      <c r="J27" s="23" t="str">
        <f>+J12</f>
        <v>Available</v>
      </c>
      <c r="K27" s="465">
        <f>+CEILING!L41</f>
        <v>761922.87674036284</v>
      </c>
      <c r="M27" s="243"/>
      <c r="U27" s="378"/>
    </row>
    <row r="28" spans="1:27" ht="13.5" customHeight="1">
      <c r="A28" s="24"/>
      <c r="B28" s="24"/>
      <c r="C28" s="363"/>
      <c r="D28" s="363"/>
      <c r="E28" s="361"/>
      <c r="F28" s="356"/>
      <c r="G28" s="362"/>
      <c r="H28" s="362"/>
      <c r="I28" s="357"/>
      <c r="J28" s="522"/>
      <c r="K28" s="467"/>
      <c r="L28" s="471"/>
      <c r="M28" s="381"/>
      <c r="N28" s="482"/>
      <c r="O28" s="357"/>
      <c r="P28" s="362"/>
      <c r="Q28" s="471"/>
      <c r="R28" s="362"/>
      <c r="U28" s="378"/>
    </row>
    <row r="29" spans="1:27">
      <c r="A29" s="24"/>
      <c r="B29" s="120"/>
      <c r="C29" s="382">
        <v>18040</v>
      </c>
      <c r="D29" s="376" t="str">
        <f>VLOOKUP($C29,'DB Link APP'!$A$2:$T$323,2,FALSE)</f>
        <v>Farmhouse Row</v>
      </c>
      <c r="E29" s="376" t="str">
        <f>VLOOKUP($C29,'DB Link APP'!$A$2:$T$323,17,FALSE)</f>
        <v>Daniel Sailler, III</v>
      </c>
      <c r="F29" s="376" t="str">
        <f>VLOOKUP(C29,'DB Link APP'!$A$3:$U$119,8,FALSE)</f>
        <v>Rural</v>
      </c>
      <c r="G29" s="383"/>
      <c r="H29" s="384"/>
      <c r="I29" s="377" t="str">
        <f>IF(VLOOKUP($C29,'DB Link APP'!$A$2:$T$323,11,FALSE)=0,"",VLOOKUP($C29,'DB Link APP'!$A$2:$T$323,11,FALSE))</f>
        <v/>
      </c>
      <c r="J29" s="520" t="str">
        <f>IF(VLOOKUP($C29,'DB Link APP'!$A$2:$N$149,13,FALSE)="General","",VLOOKUP($C29,'DB Link APP'!$A$2:$N$149,13,FALSE))</f>
        <v/>
      </c>
      <c r="K29" s="506">
        <f>VLOOKUP($C29,'DB Link APP'!$A$2:$T$323,16,FALSE)</f>
        <v>642500</v>
      </c>
      <c r="L29" s="485">
        <f>IF(ISNA(VLOOKUP(C29,'UW Rec Amts'!$A$2:$D$112,4,FALSE)),"",VLOOKUP(C29,'UW Rec Amts'!$A$2:$D$112,4,FALSE))</f>
        <v>642500</v>
      </c>
      <c r="M29" s="385">
        <f>+SUM(L$29:L29)/K$27</f>
        <v>0.84326120085634593</v>
      </c>
      <c r="N29" s="483">
        <f>+IF(M29&lt;=1,L29,0)</f>
        <v>642500</v>
      </c>
      <c r="O29" s="379"/>
      <c r="P29" s="379"/>
      <c r="Q29" s="468">
        <f>+SUM(N29:P29)</f>
        <v>642500</v>
      </c>
      <c r="R29" s="380" t="str">
        <f>+IF(N29&gt;0,"I",IF(O29&gt;0,"R",IF(P29&gt;0,"SW","")))</f>
        <v>I</v>
      </c>
      <c r="S29" s="267" t="str">
        <f>IF(VLOOKUP($C29,'REA-PPR'!$A$2:$E$149,3,FALSE)="","",VLOOKUP($C29,'REA-PPR'!$A$2:$E$149,3,FALSE))</f>
        <v/>
      </c>
      <c r="T29" s="15" t="str">
        <f>IF(VLOOKUP(C29,'UW Rec Amts'!A:H,2,FALSE),"C","")</f>
        <v>C</v>
      </c>
      <c r="U29" s="378" t="str">
        <f>IF(VLOOKUP($C29,'REA-PPR'!$A$2:$E$149,5,FALSE)="","No",VLOOKUP($C29,'REA-PPR'!$A$2:$E$149,5,FALSE))</f>
        <v>No</v>
      </c>
    </row>
    <row r="30" spans="1:27">
      <c r="A30" s="24"/>
      <c r="B30" s="120"/>
      <c r="C30" s="382">
        <v>18223</v>
      </c>
      <c r="D30" s="376" t="str">
        <f>VLOOKUP($C30,'DB Link APP'!$A$2:$T$323,2,FALSE)</f>
        <v>Harvest Park Apartments</v>
      </c>
      <c r="E30" s="376" t="str">
        <f>VLOOKUP($C30,'DB Link APP'!$A$2:$T$323,17,FALSE)</f>
        <v>Vaughn Zimmerman</v>
      </c>
      <c r="F30" s="376" t="str">
        <f>VLOOKUP(C30,'DB Link APP'!$A$3:$U$119,8,FALSE)</f>
        <v>Rural</v>
      </c>
      <c r="G30" s="383"/>
      <c r="H30" s="384"/>
      <c r="I30" s="377" t="str">
        <f>IF(VLOOKUP($C30,'DB Link APP'!$A$2:$T$323,11,FALSE)=0,"",VLOOKUP($C30,'DB Link APP'!$A$2:$T$323,11,FALSE))</f>
        <v/>
      </c>
      <c r="J30" s="520" t="str">
        <f>IF(VLOOKUP($C30,'DB Link APP'!$A$2:$N$149,13,FALSE)="General","",VLOOKUP($C30,'DB Link APP'!$A$2:$N$149,13,FALSE))</f>
        <v/>
      </c>
      <c r="K30" s="506">
        <f>VLOOKUP($C30,'DB Link APP'!$A$2:$T$323,16,FALSE)</f>
        <v>777900</v>
      </c>
      <c r="L30" s="485">
        <f>IF(ISNA(VLOOKUP(C30,'UW Rec Amts'!$A$2:$D$112,4,FALSE)),"",VLOOKUP(C30,'UW Rec Amts'!$A$2:$D$112,4,FALSE))</f>
        <v>777900</v>
      </c>
      <c r="M30" s="385">
        <f>+SUM(L$29:L30)/K$27</f>
        <v>1.8642306765702004</v>
      </c>
      <c r="N30" s="483">
        <f>+IF(M30&lt;=1,L30,0)</f>
        <v>0</v>
      </c>
      <c r="O30" s="480">
        <f>L30</f>
        <v>777900</v>
      </c>
      <c r="P30" s="379"/>
      <c r="Q30" s="468">
        <f>+SUM(N30:P30)</f>
        <v>777900</v>
      </c>
      <c r="R30" s="380" t="str">
        <f>+IF(N30&gt;0,"I",IF(O30&gt;0,"R",IF(P30&gt;0,"SW","")))</f>
        <v>R</v>
      </c>
      <c r="S30" s="267" t="str">
        <f>IF(VLOOKUP($C30,'REA-PPR'!$A$2:$E$149,3,FALSE)="","",VLOOKUP($C30,'REA-PPR'!$A$2:$E$149,3,FALSE))</f>
        <v/>
      </c>
      <c r="T30" s="15" t="str">
        <f>IF(VLOOKUP(C30,'UW Rec Amts'!A:H,2,FALSE),"C","")</f>
        <v>C</v>
      </c>
      <c r="U30" s="378" t="str">
        <f>IF(VLOOKUP($C30,'REA-PPR'!$A$2:$E$149,5,FALSE)="","No",VLOOKUP($C30,'REA-PPR'!$A$2:$E$149,5,FALSE))</f>
        <v>No</v>
      </c>
      <c r="V30" s="338"/>
    </row>
    <row r="31" spans="1:27" ht="15.75" customHeight="1">
      <c r="A31" s="24"/>
      <c r="B31" s="24"/>
      <c r="C31" s="364"/>
      <c r="D31" s="365"/>
      <c r="E31" s="365"/>
      <c r="F31" s="373"/>
      <c r="G31" s="374"/>
      <c r="H31" s="374"/>
      <c r="I31" s="368"/>
      <c r="J31" s="523"/>
      <c r="K31" s="481"/>
      <c r="L31" s="481"/>
      <c r="M31" s="372"/>
      <c r="N31" s="481"/>
      <c r="O31" s="481"/>
      <c r="P31" s="367"/>
      <c r="Q31" s="470"/>
      <c r="R31" s="368"/>
      <c r="U31" s="378"/>
      <c r="V31" s="89"/>
      <c r="W31" s="268"/>
    </row>
    <row r="32" spans="1:27">
      <c r="J32" s="23" t="s">
        <v>18</v>
      </c>
      <c r="K32" s="465">
        <f>+SUM(K28:K31)</f>
        <v>1420400</v>
      </c>
      <c r="L32" s="498" t="s">
        <v>19</v>
      </c>
      <c r="M32" s="243"/>
      <c r="N32" s="465">
        <f>+SUM(N28:N31)</f>
        <v>642500</v>
      </c>
      <c r="O32" s="465">
        <f>+SUM(O28:O31)</f>
        <v>777900</v>
      </c>
      <c r="P32" s="465">
        <f>+SUM(P28:P31)</f>
        <v>0</v>
      </c>
      <c r="Q32" s="465">
        <f>+SUM(Q28:Q31)</f>
        <v>1420400</v>
      </c>
      <c r="U32" s="378"/>
    </row>
    <row r="33" spans="1:25">
      <c r="L33" s="498" t="s">
        <v>20</v>
      </c>
      <c r="M33" s="243"/>
      <c r="N33" s="492">
        <f>1-SUM($N32:N32)/$K27</f>
        <v>0.15673879914365407</v>
      </c>
      <c r="O33" s="25">
        <f>1-SUM($N32:O32)/$K27</f>
        <v>-0.86423067657020036</v>
      </c>
      <c r="P33" s="25">
        <f>1-SUM($N32:P32)/$K27</f>
        <v>-0.86423067657020036</v>
      </c>
      <c r="Q33" s="492">
        <f>1-SUM($Q32:Q32)/$K27</f>
        <v>-0.86423067657020036</v>
      </c>
      <c r="U33" s="378"/>
      <c r="Y33" s="15"/>
    </row>
    <row r="34" spans="1:25" ht="6.75" customHeight="1">
      <c r="M34" s="243"/>
      <c r="U34" s="378"/>
      <c r="Y34" s="15"/>
    </row>
    <row r="35" spans="1:25" ht="15.75">
      <c r="C35" s="354" t="s">
        <v>17</v>
      </c>
      <c r="D35" s="31" t="s">
        <v>14</v>
      </c>
      <c r="J35" s="23" t="str">
        <f>+J27</f>
        <v>Available</v>
      </c>
      <c r="K35" s="465">
        <f>+CEILING!L27</f>
        <v>1363269.2497609712</v>
      </c>
      <c r="M35" s="243"/>
      <c r="U35" s="378"/>
      <c r="Y35" s="15"/>
    </row>
    <row r="36" spans="1:25" ht="12" customHeight="1">
      <c r="A36" s="24" t="e">
        <f>VLOOKUP($C36,#REF!,2,FALSE)</f>
        <v>#REF!</v>
      </c>
      <c r="B36" s="24" t="e">
        <f>VLOOKUP($C36,#REF!,6,FALSE)</f>
        <v>#REF!</v>
      </c>
      <c r="C36" s="361"/>
      <c r="D36" s="357"/>
      <c r="E36" s="357"/>
      <c r="F36" s="356"/>
      <c r="G36" s="362"/>
      <c r="H36" s="362"/>
      <c r="I36" s="357"/>
      <c r="J36" s="522"/>
      <c r="K36" s="471"/>
      <c r="L36" s="471"/>
      <c r="M36" s="370"/>
      <c r="N36" s="471"/>
      <c r="O36" s="357"/>
      <c r="P36" s="362"/>
      <c r="Q36" s="467"/>
      <c r="R36" s="363"/>
      <c r="U36" s="378"/>
      <c r="Y36" s="15"/>
    </row>
    <row r="37" spans="1:25">
      <c r="A37" s="24"/>
      <c r="B37" s="120"/>
      <c r="C37" s="382">
        <v>18162</v>
      </c>
      <c r="D37" s="386" t="str">
        <f>VLOOKUP($C37,'DB Link APP'!$A$2:$T$323,2,FALSE)</f>
        <v>Guadalupe Villas</v>
      </c>
      <c r="E37" s="386" t="str">
        <f>VLOOKUP($C37,'DB Link APP'!$A$2:$T$323,17,FALSE)</f>
        <v>Kent R. Hance, Sr.</v>
      </c>
      <c r="F37" s="376" t="str">
        <f>VLOOKUP(C37,'DB Link APP'!$A$3:$U$119,8,FALSE)</f>
        <v>Urban</v>
      </c>
      <c r="G37" s="387"/>
      <c r="H37" s="380"/>
      <c r="I37" s="377" t="str">
        <f>IF(VLOOKUP($C37,'DB Link APP'!$A$2:$T$323,11,FALSE)=0,"",VLOOKUP($C37,'DB Link APP'!$A$2:$T$323,11,FALSE))</f>
        <v/>
      </c>
      <c r="J37" s="520" t="str">
        <f>IF(VLOOKUP($C37,'DB Link APP'!$A$2:$N$149,13,FALSE)="General","",VLOOKUP($C37,'DB Link APP'!$A$2:$N$149,13,FALSE))</f>
        <v>Elderly Limitation</v>
      </c>
      <c r="K37" s="507">
        <f>VLOOKUP($C37,'DB Link APP'!$A$2:$T$323,16,FALSE)</f>
        <v>1417843</v>
      </c>
      <c r="L37" s="485">
        <f>IF(ISNA(VLOOKUP(C37,'UW Rec Amts'!$A$2:$D$112,4,FALSE)),"",VLOOKUP(C37,'UW Rec Amts'!$A$2:$D$112,4,FALSE))</f>
        <v>1417843</v>
      </c>
      <c r="M37" s="395">
        <f>+SUM(L$37:L37)/K$35</f>
        <v>1.040031527336656</v>
      </c>
      <c r="N37" s="483">
        <f>+IF(M37&lt;=1,L37,0)</f>
        <v>0</v>
      </c>
      <c r="O37" s="118"/>
      <c r="P37" s="480">
        <f>L37</f>
        <v>1417843</v>
      </c>
      <c r="Q37" s="472">
        <f t="shared" ref="Q37:Q39" si="5">+SUM(N37:P37)</f>
        <v>1417843</v>
      </c>
      <c r="R37" s="380" t="str">
        <f t="shared" ref="R37:R39" si="6">+IF(N37&gt;0,"I",IF(O37&gt;0,"R",IF(P37&gt;0,"SW","")))</f>
        <v>SW</v>
      </c>
      <c r="S37" s="267" t="str">
        <f>IF(VLOOKUP($C37,'REA-PPR'!$A$2:$E$149,3,FALSE)="","",VLOOKUP($C37,'REA-PPR'!$A$2:$E$149,3,FALSE))</f>
        <v/>
      </c>
      <c r="T37" s="15" t="str">
        <f>IF(VLOOKUP(C37,'UW Rec Amts'!A:H,2,FALSE),"C","")</f>
        <v>C</v>
      </c>
      <c r="U37" s="378" t="str">
        <f>IF(VLOOKUP($C37,'REA-PPR'!$A$2:$E$149,5,FALSE)="","No",VLOOKUP($C37,'REA-PPR'!$A$2:$E$149,5,FALSE))</f>
        <v>No</v>
      </c>
      <c r="V37" s="338"/>
      <c r="Y37" s="15"/>
    </row>
    <row r="38" spans="1:25">
      <c r="A38" s="24" t="e">
        <f>VLOOKUP($C38,#REF!,2,FALSE)</f>
        <v>#REF!</v>
      </c>
      <c r="B38" s="120" t="e">
        <f>VLOOKUP($C38,#REF!,6,FALSE)</f>
        <v>#REF!</v>
      </c>
      <c r="C38" s="382">
        <v>18038</v>
      </c>
      <c r="D38" s="386" t="str">
        <f>VLOOKUP($C38,'DB Link APP'!$A$2:$T$323,2,FALSE)</f>
        <v>3rd Street Lofts</v>
      </c>
      <c r="E38" s="386" t="str">
        <f>VLOOKUP($C38,'DB Link APP'!$A$2:$T$323,17,FALSE)</f>
        <v>Daniel Sailler, III</v>
      </c>
      <c r="F38" s="376" t="str">
        <f>VLOOKUP(C38,'DB Link APP'!$A$3:$U$119,8,FALSE)</f>
        <v>Urban</v>
      </c>
      <c r="G38" s="387"/>
      <c r="H38" s="380"/>
      <c r="I38" s="377" t="str">
        <f>IF(VLOOKUP($C38,'DB Link APP'!$A$2:$T$323,11,FALSE)=0,"",VLOOKUP($C38,'DB Link APP'!$A$2:$T$323,11,FALSE))</f>
        <v/>
      </c>
      <c r="J38" s="520" t="str">
        <f>IF(VLOOKUP($C38,'DB Link APP'!$A$2:$N$149,13,FALSE)="General","",VLOOKUP($C38,'DB Link APP'!$A$2:$N$149,13,FALSE))</f>
        <v/>
      </c>
      <c r="K38" s="506">
        <f>VLOOKUP($C38,'DB Link APP'!$A$2:$T$323,16,FALSE)</f>
        <v>950000</v>
      </c>
      <c r="L38" s="485">
        <f>IF(ISNA(VLOOKUP(C38,'UW Rec Amts'!$A$2:$D$112,4,FALSE)),"",VLOOKUP(C38,'UW Rec Amts'!$A$2:$D$112,4,FALSE))</f>
        <v>950000</v>
      </c>
      <c r="M38" s="395">
        <f>+SUM(L$37:L38)/K$35</f>
        <v>1.736885798909618</v>
      </c>
      <c r="N38" s="483">
        <f t="shared" ref="N38:N39" si="7">+IF(M38&lt;=1,L38,0)</f>
        <v>0</v>
      </c>
      <c r="O38" s="118"/>
      <c r="P38" s="480"/>
      <c r="Q38" s="472">
        <f>+SUM(N38:P38)</f>
        <v>0</v>
      </c>
      <c r="R38" s="380" t="str">
        <f>+IF(N38&gt;0,"I",IF(O38&gt;0,"R",IF(P38&gt;0,"SW","")))</f>
        <v/>
      </c>
      <c r="S38" s="267" t="str">
        <f>IF(VLOOKUP($C38,'REA-PPR'!$A$2:$E$149,3,FALSE)="","",VLOOKUP($C38,'REA-PPR'!$A$2:$E$149,3,FALSE))</f>
        <v/>
      </c>
      <c r="T38" s="15" t="str">
        <f>IF(VLOOKUP(C38,'UW Rec Amts'!A:H,2,FALSE),"C","")</f>
        <v>C</v>
      </c>
      <c r="U38" s="378" t="str">
        <f>IF(VLOOKUP($C38,'REA-PPR'!$A$2:$E$149,5,FALSE)="","No",VLOOKUP($C38,'REA-PPR'!$A$2:$E$149,5,FALSE))</f>
        <v>No</v>
      </c>
      <c r="Y38" s="15"/>
    </row>
    <row r="39" spans="1:25">
      <c r="A39" s="24"/>
      <c r="B39" s="120"/>
      <c r="C39" s="382">
        <v>18192</v>
      </c>
      <c r="D39" s="386" t="str">
        <f>VLOOKUP($C39,'DB Link APP'!$A$2:$T$323,2,FALSE)</f>
        <v>Residences at Stonegate</v>
      </c>
      <c r="E39" s="386" t="str">
        <f>VLOOKUP($C39,'DB Link APP'!$A$2:$T$323,17,FALSE)</f>
        <v>Paul Stell</v>
      </c>
      <c r="F39" s="376" t="str">
        <f>VLOOKUP(C39,'DB Link APP'!$A$3:$U$119,8,FALSE)</f>
        <v>Urban</v>
      </c>
      <c r="G39" s="387"/>
      <c r="H39" s="380"/>
      <c r="I39" s="377" t="str">
        <f>IF(VLOOKUP($C39,'DB Link APP'!$A$2:$T$323,11,FALSE)=0,"",VLOOKUP($C39,'DB Link APP'!$A$2:$T$323,11,FALSE))</f>
        <v/>
      </c>
      <c r="J39" s="520" t="str">
        <f>IF(VLOOKUP($C39,'DB Link APP'!$A$2:$N$149,13,FALSE)="General","",VLOOKUP($C39,'DB Link APP'!$A$2:$N$149,13,FALSE))</f>
        <v/>
      </c>
      <c r="K39" s="506">
        <f>VLOOKUP($C39,'DB Link APP'!$A$2:$T$323,16,FALSE)</f>
        <v>1188287</v>
      </c>
      <c r="L39" s="485">
        <f>IF(ISNA(VLOOKUP(C39,'UW Rec Amts'!$A$2:$D$112,4,FALSE)),"",VLOOKUP(C39,'UW Rec Amts'!$A$2:$D$112,4,FALSE))</f>
        <v>1188287</v>
      </c>
      <c r="M39" s="395">
        <f>+SUM(L$37:L39)/K$35</f>
        <v>2.6085309271250079</v>
      </c>
      <c r="N39" s="483">
        <f t="shared" si="7"/>
        <v>0</v>
      </c>
      <c r="O39" s="118"/>
      <c r="P39" s="480"/>
      <c r="Q39" s="472">
        <f t="shared" si="5"/>
        <v>0</v>
      </c>
      <c r="R39" s="380" t="str">
        <f t="shared" si="6"/>
        <v/>
      </c>
      <c r="S39" s="267" t="str">
        <f>IF(VLOOKUP($C39,'REA-PPR'!$A$2:$E$149,3,FALSE)="","",VLOOKUP($C39,'REA-PPR'!$A$2:$E$149,3,FALSE))</f>
        <v/>
      </c>
      <c r="T39" s="15" t="str">
        <f>IF(VLOOKUP(C39,'UW Rec Amts'!A:H,2,FALSE),"C","")</f>
        <v>C</v>
      </c>
      <c r="U39" s="378" t="str">
        <f>IF(VLOOKUP($C39,'REA-PPR'!$A$2:$E$149,5,FALSE)="","No",VLOOKUP($C39,'REA-PPR'!$A$2:$E$149,5,FALSE))</f>
        <v>No</v>
      </c>
      <c r="V39" s="338"/>
      <c r="Y39" s="15"/>
    </row>
    <row r="40" spans="1:25" ht="13.5" customHeight="1">
      <c r="A40" s="24"/>
      <c r="B40" s="24"/>
      <c r="C40" s="364"/>
      <c r="D40" s="365"/>
      <c r="E40" s="365"/>
      <c r="F40" s="366"/>
      <c r="G40" s="367"/>
      <c r="H40" s="367"/>
      <c r="I40" s="365"/>
      <c r="J40" s="523"/>
      <c r="K40" s="481"/>
      <c r="L40" s="481"/>
      <c r="M40" s="372"/>
      <c r="N40" s="481"/>
      <c r="O40" s="365"/>
      <c r="P40" s="481"/>
      <c r="Q40" s="470"/>
      <c r="R40" s="368"/>
      <c r="U40" s="378"/>
      <c r="Y40" s="15"/>
    </row>
    <row r="41" spans="1:25">
      <c r="J41" s="272" t="s">
        <v>18</v>
      </c>
      <c r="K41" s="465">
        <f>+SUM(K36:K40)</f>
        <v>3556130</v>
      </c>
      <c r="L41" s="498" t="s">
        <v>19</v>
      </c>
      <c r="M41" s="243"/>
      <c r="N41" s="465">
        <f>+SUM(N36:N40)</f>
        <v>0</v>
      </c>
      <c r="P41" s="465">
        <f>+SUM(P36:P40)</f>
        <v>1417843</v>
      </c>
      <c r="Q41" s="465">
        <f>+SUM(Q36:Q40)</f>
        <v>1417843</v>
      </c>
      <c r="U41" s="378"/>
      <c r="Y41" s="15"/>
    </row>
    <row r="42" spans="1:25">
      <c r="J42" s="524"/>
      <c r="L42" s="498" t="s">
        <v>20</v>
      </c>
      <c r="M42" s="243"/>
      <c r="N42" s="25">
        <f>1-SUM($N41:N41)/$K35</f>
        <v>1</v>
      </c>
      <c r="O42" s="25"/>
      <c r="P42" s="25">
        <f>1-SUM($N41:P41)/$K35</f>
        <v>-4.0031527336656048E-2</v>
      </c>
      <c r="Q42" s="25">
        <f>1-SUM($Q41:Q41)/$K35</f>
        <v>-4.0031527336656048E-2</v>
      </c>
      <c r="U42" s="378"/>
      <c r="Y42" s="15"/>
    </row>
    <row r="43" spans="1:25" ht="6.75" customHeight="1">
      <c r="J43" s="524"/>
      <c r="M43" s="243"/>
      <c r="U43" s="378"/>
      <c r="Y43" s="15"/>
    </row>
    <row r="44" spans="1:25" ht="15.75">
      <c r="C44" s="354" t="s">
        <v>21</v>
      </c>
      <c r="D44" s="31" t="s">
        <v>6</v>
      </c>
      <c r="J44" s="272" t="str">
        <f>+J35</f>
        <v>Available</v>
      </c>
      <c r="K44" s="465">
        <f>+CEILING!L42</f>
        <v>554008.78331644367</v>
      </c>
      <c r="M44" s="243"/>
      <c r="U44" s="378"/>
      <c r="Y44" s="15"/>
    </row>
    <row r="45" spans="1:25" ht="14.25" customHeight="1">
      <c r="A45" s="24" t="e">
        <f>VLOOKUP($C45,#REF!,2,FALSE)</f>
        <v>#REF!</v>
      </c>
      <c r="B45" s="24" t="e">
        <f>VLOOKUP($C45,#REF!,6,FALSE)</f>
        <v>#REF!</v>
      </c>
      <c r="C45" s="363"/>
      <c r="D45" s="363"/>
      <c r="E45" s="361"/>
      <c r="F45" s="356"/>
      <c r="G45" s="362"/>
      <c r="H45" s="362"/>
      <c r="I45" s="357"/>
      <c r="J45" s="522"/>
      <c r="K45" s="467"/>
      <c r="L45" s="471"/>
      <c r="M45" s="381"/>
      <c r="N45" s="482"/>
      <c r="O45" s="357"/>
      <c r="P45" s="362"/>
      <c r="Q45" s="471"/>
      <c r="R45" s="362"/>
      <c r="U45" s="378"/>
      <c r="Y45" s="15"/>
    </row>
    <row r="46" spans="1:25">
      <c r="A46" s="128"/>
      <c r="B46" s="128"/>
      <c r="C46" s="389">
        <v>18259</v>
      </c>
      <c r="D46" s="386" t="str">
        <f>VLOOKUP($C46,'DB Link APP'!$A$2:$T$323,2,FALSE)</f>
        <v>Cannon Courts</v>
      </c>
      <c r="E46" s="386" t="str">
        <f>VLOOKUP($C46,'DB Link APP'!$A$2:$T$323,17,FALSE)</f>
        <v>Britton Jones</v>
      </c>
      <c r="F46" s="376" t="str">
        <f>VLOOKUP(C46,'DB Link APP'!$A$3:$U$119,8,FALSE)</f>
        <v>Rural</v>
      </c>
      <c r="G46" s="387"/>
      <c r="H46" s="380"/>
      <c r="I46" s="377" t="str">
        <f>IF(VLOOKUP($C46,'DB Link APP'!$A$2:$T$323,11,FALSE)=0,"",VLOOKUP($C46,'DB Link APP'!$A$2:$T$323,11,FALSE))</f>
        <v/>
      </c>
      <c r="J46" s="520" t="str">
        <f>IF(VLOOKUP($C46,'DB Link APP'!$A$2:$N$149,13,FALSE)="General","",VLOOKUP($C46,'DB Link APP'!$A$2:$N$149,13,FALSE))</f>
        <v/>
      </c>
      <c r="K46" s="506">
        <f>VLOOKUP($C46,'DB Link APP'!$A$2:$T$323,16,FALSE)</f>
        <v>500000</v>
      </c>
      <c r="L46" s="485">
        <f>IF(ISNA(VLOOKUP(C46,'UW Rec Amts'!$A$2:$D$112,4,FALSE)),"",VLOOKUP(C46,'UW Rec Amts'!$A$2:$D$112,4,FALSE))</f>
        <v>500000</v>
      </c>
      <c r="M46" s="385">
        <f>+SUM(L$46:L46)/K$44</f>
        <v>0.90251276704832595</v>
      </c>
      <c r="N46" s="483">
        <f>+IF(M46&lt;=1,L46,0)</f>
        <v>500000</v>
      </c>
      <c r="O46" s="480"/>
      <c r="P46" s="480"/>
      <c r="Q46" s="468">
        <f t="shared" ref="Q46:Q48" si="8">+SUM(N46:P46)</f>
        <v>500000</v>
      </c>
      <c r="R46" s="380" t="str">
        <f t="shared" ref="R46:R48" si="9">+IF(N46&gt;0,"I",IF(O46&gt;0,"R",IF(P46&gt;0,"SW","")))</f>
        <v>I</v>
      </c>
      <c r="S46" s="267" t="str">
        <f>IF(VLOOKUP($C46,'REA-PPR'!$A$2:$E$149,3,FALSE)="","",VLOOKUP($C46,'REA-PPR'!$A$2:$E$149,3,FALSE))</f>
        <v/>
      </c>
      <c r="T46" s="15" t="str">
        <f>IF(VLOOKUP(C46,'UW Rec Amts'!A:H,2,FALSE),"C","")</f>
        <v>C</v>
      </c>
      <c r="U46" s="378" t="str">
        <f>IF(VLOOKUP($C46,'REA-PPR'!$A$2:$E$149,5,FALSE)="","No",VLOOKUP($C46,'REA-PPR'!$A$2:$E$149,5,FALSE))</f>
        <v>No</v>
      </c>
      <c r="V46" s="338"/>
      <c r="Y46" s="15"/>
    </row>
    <row r="47" spans="1:25">
      <c r="A47" s="128" t="e">
        <f>VLOOKUP($C47,#REF!,2,FALSE)</f>
        <v>#REF!</v>
      </c>
      <c r="B47" s="128" t="e">
        <f>VLOOKUP($C47,#REF!,6,FALSE)</f>
        <v>#REF!</v>
      </c>
      <c r="C47" s="389">
        <v>18036</v>
      </c>
      <c r="D47" s="386" t="str">
        <f>VLOOKUP($C47,'DB Link APP'!$A$2:$T$323,2,FALSE)</f>
        <v>Clyde Ranch</v>
      </c>
      <c r="E47" s="386" t="str">
        <f>VLOOKUP($C47,'DB Link APP'!$A$2:$T$323,17,FALSE)</f>
        <v>Daniel Sailler, III</v>
      </c>
      <c r="F47" s="376" t="str">
        <f>VLOOKUP(C47,'DB Link APP'!$A$3:$U$119,8,FALSE)</f>
        <v>Rural</v>
      </c>
      <c r="G47" s="387"/>
      <c r="H47" s="380"/>
      <c r="I47" s="377" t="str">
        <f>IF(VLOOKUP($C47,'DB Link APP'!$A$2:$T$323,11,FALSE)=0,"",VLOOKUP($C47,'DB Link APP'!$A$2:$T$323,11,FALSE))</f>
        <v/>
      </c>
      <c r="J47" s="520" t="str">
        <f>IF(VLOOKUP($C47,'DB Link APP'!$A$2:$N$149,13,FALSE)="General","",VLOOKUP($C47,'DB Link APP'!$A$2:$N$149,13,FALSE))</f>
        <v/>
      </c>
      <c r="K47" s="506">
        <f>VLOOKUP($C47,'DB Link APP'!$A$2:$T$323,16,FALSE)</f>
        <v>500000</v>
      </c>
      <c r="L47" s="485">
        <f>IF(ISNA(VLOOKUP(C47,'UW Rec Amts'!$A$2:$D$112,4,FALSE)),"",VLOOKUP(C47,'UW Rec Amts'!$A$2:$D$112,4,FALSE))</f>
        <v>500000</v>
      </c>
      <c r="M47" s="385">
        <f>+SUM(L$46:L47)/K$44</f>
        <v>1.8050255340966519</v>
      </c>
      <c r="N47" s="483">
        <f t="shared" ref="N47:N49" si="10">+IF(M47&lt;=1,L47,0)</f>
        <v>0</v>
      </c>
      <c r="O47" s="480">
        <f>L47</f>
        <v>500000</v>
      </c>
      <c r="P47" s="480"/>
      <c r="Q47" s="468">
        <f>+SUM(N47:P47)</f>
        <v>500000</v>
      </c>
      <c r="R47" s="380" t="str">
        <f>+IF(N47&gt;0,"I",IF(O47&gt;0,"R",IF(P47&gt;0,"SW","")))</f>
        <v>R</v>
      </c>
      <c r="S47" s="267" t="str">
        <f>IF(VLOOKUP($C47,'REA-PPR'!$A$2:$E$149,3,FALSE)="","",VLOOKUP($C47,'REA-PPR'!$A$2:$E$149,3,FALSE))</f>
        <v/>
      </c>
      <c r="T47" s="15" t="str">
        <f>IF(VLOOKUP(C47,'UW Rec Amts'!A:H,2,FALSE),"C","")</f>
        <v>C</v>
      </c>
      <c r="U47" s="378" t="str">
        <f>IF(VLOOKUP($C47,'REA-PPR'!$A$2:$E$149,5,FALSE)="","No",VLOOKUP($C47,'REA-PPR'!$A$2:$E$149,5,FALSE))</f>
        <v>No</v>
      </c>
      <c r="Y47" s="15"/>
    </row>
    <row r="48" spans="1:25">
      <c r="A48" s="128"/>
      <c r="B48" s="128"/>
      <c r="C48" s="389">
        <v>18372</v>
      </c>
      <c r="D48" s="386" t="str">
        <f>VLOOKUP($C48,'DB Link APP'!$A$2:$T$323,2,FALSE)</f>
        <v>Iowa Park Pioneer Crossing</v>
      </c>
      <c r="E48" s="386" t="str">
        <f>VLOOKUP($C48,'DB Link APP'!$A$2:$T$323,17,FALSE)</f>
        <v>Noor Jooma</v>
      </c>
      <c r="F48" s="376" t="str">
        <f>VLOOKUP(C48,'DB Link APP'!$A$3:$U$119,8,FALSE)</f>
        <v>Rural</v>
      </c>
      <c r="G48" s="387"/>
      <c r="H48" s="380"/>
      <c r="I48" s="377" t="str">
        <f>IF(VLOOKUP($C48,'DB Link APP'!$A$2:$T$323,11,FALSE)=0,"",VLOOKUP($C48,'DB Link APP'!$A$2:$T$323,11,FALSE))</f>
        <v/>
      </c>
      <c r="J48" s="520" t="str">
        <f>IF(VLOOKUP($C48,'DB Link APP'!$A$2:$N$149,13,FALSE)="General","",VLOOKUP($C48,'DB Link APP'!$A$2:$N$149,13,FALSE))</f>
        <v/>
      </c>
      <c r="K48" s="506">
        <f>VLOOKUP($C48,'DB Link APP'!$A$2:$T$323,16,FALSE)</f>
        <v>500000</v>
      </c>
      <c r="L48" s="485">
        <f>IF(ISNA(VLOOKUP(C48,'UW Rec Amts'!$A$2:$D$112,4,FALSE)),"",VLOOKUP(C48,'UW Rec Amts'!$A$2:$D$112,4,FALSE))</f>
        <v>500000</v>
      </c>
      <c r="M48" s="385">
        <f>+SUM(L$46:L48)/K$44</f>
        <v>2.7075383011449778</v>
      </c>
      <c r="N48" s="483">
        <f t="shared" si="10"/>
        <v>0</v>
      </c>
      <c r="O48" s="480"/>
      <c r="P48" s="480"/>
      <c r="Q48" s="468">
        <f t="shared" si="8"/>
        <v>0</v>
      </c>
      <c r="R48" s="380" t="str">
        <f t="shared" si="9"/>
        <v/>
      </c>
      <c r="S48" s="267" t="str">
        <f>IF(VLOOKUP($C48,'REA-PPR'!$A$2:$E$149,3,FALSE)="","",VLOOKUP($C48,'REA-PPR'!$A$2:$E$149,3,FALSE))</f>
        <v/>
      </c>
      <c r="T48" s="15" t="str">
        <f>IF(VLOOKUP(C48,'UW Rec Amts'!A:H,2,FALSE),"C","")</f>
        <v>C</v>
      </c>
      <c r="U48" s="378" t="str">
        <f>IF(VLOOKUP($C48,'REA-PPR'!$A$2:$E$149,5,FALSE)="","No",VLOOKUP($C48,'REA-PPR'!$A$2:$E$149,5,FALSE))</f>
        <v>No</v>
      </c>
      <c r="V48" s="338"/>
      <c r="Y48" s="15"/>
    </row>
    <row r="49" spans="1:25">
      <c r="A49" s="128"/>
      <c r="B49" s="128"/>
      <c r="C49" s="389">
        <v>18373</v>
      </c>
      <c r="D49" s="386" t="str">
        <f>VLOOKUP($C49,'DB Link APP'!$A$2:$T$323,2,FALSE)</f>
        <v>Burkburnett Royal Gardens</v>
      </c>
      <c r="E49" s="386" t="str">
        <f>VLOOKUP($C49,'DB Link APP'!$A$2:$T$323,17,FALSE)</f>
        <v>Noor Jooma</v>
      </c>
      <c r="F49" s="376" t="str">
        <f>VLOOKUP(C49,'DB Link APP'!$A$3:$U$119,8,FALSE)</f>
        <v>Rural</v>
      </c>
      <c r="G49" s="387"/>
      <c r="H49" s="380"/>
      <c r="I49" s="377" t="str">
        <f>IF(VLOOKUP($C49,'DB Link APP'!$A$2:$T$323,11,FALSE)=0,"",VLOOKUP($C49,'DB Link APP'!$A$2:$T$323,11,FALSE))</f>
        <v/>
      </c>
      <c r="J49" s="520" t="str">
        <f>IF(VLOOKUP($C49,'DB Link APP'!$A$2:$N$149,13,FALSE)="General","",VLOOKUP($C49,'DB Link APP'!$A$2:$N$149,13,FALSE))</f>
        <v>Elderly Limitation</v>
      </c>
      <c r="K49" s="507">
        <f>VLOOKUP($C49,'DB Link APP'!$A$2:$T$323,16,FALSE)</f>
        <v>500000</v>
      </c>
      <c r="L49" s="485">
        <f>IF(ISNA(VLOOKUP(C49,'UW Rec Amts'!$A$2:$D$112,4,FALSE)),"",VLOOKUP(C49,'UW Rec Amts'!$A$2:$D$112,4,FALSE))</f>
        <v>500000</v>
      </c>
      <c r="M49" s="385">
        <f>+SUM(L$46:L49)/K$44</f>
        <v>3.6100510681933038</v>
      </c>
      <c r="N49" s="483">
        <f t="shared" si="10"/>
        <v>0</v>
      </c>
      <c r="O49" s="480"/>
      <c r="P49" s="480"/>
      <c r="Q49" s="468">
        <f>+SUM(N49:P49)</f>
        <v>0</v>
      </c>
      <c r="R49" s="380" t="str">
        <f>+IF(N49&gt;0,"I",IF(O49&gt;0,"R",IF(P49&gt;0,"SW","")))</f>
        <v/>
      </c>
      <c r="S49" s="267" t="str">
        <f>IF(VLOOKUP($C49,'REA-PPR'!$A$2:$E$149,3,FALSE)="","",VLOOKUP($C49,'REA-PPR'!$A$2:$E$149,3,FALSE))</f>
        <v/>
      </c>
      <c r="T49" s="15" t="str">
        <f>IF(VLOOKUP(C49,'UW Rec Amts'!A:H,2,FALSE),"C","")</f>
        <v>C</v>
      </c>
      <c r="U49" s="378" t="str">
        <f>IF(VLOOKUP($C49,'REA-PPR'!$A$2:$E$149,5,FALSE)="","No",VLOOKUP($C49,'REA-PPR'!$A$2:$E$149,5,FALSE))</f>
        <v>No</v>
      </c>
      <c r="V49" s="338"/>
      <c r="Y49" s="15"/>
    </row>
    <row r="50" spans="1:25" ht="15" customHeight="1">
      <c r="A50" s="27"/>
      <c r="B50" s="27"/>
      <c r="C50" s="364"/>
      <c r="D50" s="365"/>
      <c r="E50" s="365"/>
      <c r="F50" s="366"/>
      <c r="G50" s="367"/>
      <c r="H50" s="367"/>
      <c r="I50" s="365"/>
      <c r="J50" s="523"/>
      <c r="K50" s="481"/>
      <c r="L50" s="481"/>
      <c r="M50" s="372"/>
      <c r="N50" s="481"/>
      <c r="O50" s="481"/>
      <c r="P50" s="481"/>
      <c r="Q50" s="470"/>
      <c r="R50" s="368"/>
      <c r="U50" s="378"/>
      <c r="Y50" s="15"/>
    </row>
    <row r="51" spans="1:25">
      <c r="J51" s="272" t="s">
        <v>18</v>
      </c>
      <c r="K51" s="465">
        <f>+SUM(K45:K50)</f>
        <v>2000000</v>
      </c>
      <c r="L51" s="498" t="s">
        <v>19</v>
      </c>
      <c r="M51" s="243"/>
      <c r="N51" s="465">
        <f>+SUM(N45:N50)</f>
        <v>500000</v>
      </c>
      <c r="O51" s="465">
        <f>+SUM(O45:O50)</f>
        <v>500000</v>
      </c>
      <c r="P51" s="465">
        <f>+SUM(P45:P50)</f>
        <v>0</v>
      </c>
      <c r="Q51" s="465">
        <f>+SUM(Q45:Q50)</f>
        <v>1000000</v>
      </c>
      <c r="U51" s="378"/>
      <c r="Y51" s="15"/>
    </row>
    <row r="52" spans="1:25">
      <c r="J52" s="524"/>
      <c r="L52" s="498" t="s">
        <v>20</v>
      </c>
      <c r="M52" s="243"/>
      <c r="N52" s="25">
        <f>1-SUM($N51:N51)/$K44</f>
        <v>9.7487232951674052E-2</v>
      </c>
      <c r="O52" s="25">
        <f>1-SUM($N51:O51)/$K44</f>
        <v>-0.8050255340966519</v>
      </c>
      <c r="P52" s="25">
        <f>1-SUM($N51:P51)/$K44</f>
        <v>-0.8050255340966519</v>
      </c>
      <c r="Q52" s="25">
        <f>1-SUM($Q51:Q51)/$K44</f>
        <v>-0.8050255340966519</v>
      </c>
      <c r="U52" s="378"/>
      <c r="Y52" s="15"/>
    </row>
    <row r="53" spans="1:25" ht="15.75" customHeight="1">
      <c r="C53" s="354" t="s">
        <v>21</v>
      </c>
      <c r="D53" s="31" t="s">
        <v>14</v>
      </c>
      <c r="J53" s="272" t="str">
        <f>+J44</f>
        <v>Available</v>
      </c>
      <c r="K53" s="465">
        <f>+CEILING!L28</f>
        <v>528417.11450060911</v>
      </c>
      <c r="M53" s="243"/>
      <c r="U53" s="378"/>
      <c r="Y53" s="15"/>
    </row>
    <row r="54" spans="1:25" ht="15.75" customHeight="1">
      <c r="A54" s="24"/>
      <c r="B54" s="120"/>
      <c r="C54" s="289"/>
      <c r="D54" s="284"/>
      <c r="E54" s="284"/>
      <c r="F54" s="285"/>
      <c r="G54" s="286"/>
      <c r="H54" s="286"/>
      <c r="I54" s="287"/>
      <c r="J54" s="525"/>
      <c r="K54" s="508"/>
      <c r="L54" s="484"/>
      <c r="M54" s="245"/>
      <c r="N54" s="484"/>
      <c r="O54" s="284"/>
      <c r="P54" s="286"/>
      <c r="Q54" s="473"/>
      <c r="R54" s="288"/>
      <c r="U54" s="378"/>
      <c r="V54" s="283"/>
      <c r="Y54" s="15"/>
    </row>
    <row r="55" spans="1:25" ht="14.25" customHeight="1">
      <c r="A55" s="24"/>
      <c r="B55" s="120"/>
      <c r="C55" s="389">
        <v>18314</v>
      </c>
      <c r="D55" s="386" t="str">
        <f>VLOOKUP($C55,'DB Link APP'!$A$2:$T$323,2,FALSE)</f>
        <v>The Reserves at Maplewood II</v>
      </c>
      <c r="E55" s="386" t="str">
        <f>VLOOKUP($C55,'DB Link APP'!$A$2:$T$323,17,FALSE)</f>
        <v>Sally Roth</v>
      </c>
      <c r="F55" s="376" t="str">
        <f>VLOOKUP(C55,'DB Link APP'!$A$3:$U$119,8,FALSE)</f>
        <v>Urban</v>
      </c>
      <c r="G55" s="387"/>
      <c r="H55" s="380"/>
      <c r="I55" s="377" t="str">
        <f>IF(VLOOKUP($C55,'DB Link APP'!$A$2:$T$323,11,FALSE)=0,"",VLOOKUP($C55,'DB Link APP'!$A$2:$T$323,11,FALSE))</f>
        <v/>
      </c>
      <c r="J55" s="520" t="str">
        <f>IF(VLOOKUP($C55,'DB Link APP'!$A$2:$N$149,13,FALSE)="General","",VLOOKUP($C55,'DB Link APP'!$A$2:$N$149,13,FALSE))</f>
        <v/>
      </c>
      <c r="K55" s="506">
        <f>VLOOKUP($C55,'DB Link APP'!$A$2:$T$323,16,FALSE)</f>
        <v>687666</v>
      </c>
      <c r="L55" s="485">
        <f>IF(ISNA(VLOOKUP(C55,'UW Rec Amts'!$A$2:$D$112,4,FALSE)),"",VLOOKUP(C55,'UW Rec Amts'!$A$2:$D$112,4,FALSE))</f>
        <v>686427</v>
      </c>
      <c r="M55" s="395">
        <f>+SUM(L$55:L55)/K$53</f>
        <v>1.2990249202066841</v>
      </c>
      <c r="N55" s="483">
        <f>+IF(M55&lt;=1,L55,0)</f>
        <v>0</v>
      </c>
      <c r="O55" s="118"/>
      <c r="P55" s="480">
        <f>L55</f>
        <v>686427</v>
      </c>
      <c r="Q55" s="472">
        <f>+SUM(N55:P55)</f>
        <v>686427</v>
      </c>
      <c r="R55" s="380" t="str">
        <f>+IF(N55&gt;0,"I",IF(O55&gt;0,"R",IF(P55&gt;0,"SW","")))</f>
        <v>SW</v>
      </c>
      <c r="S55" s="267" t="str">
        <f>IF(VLOOKUP($C55,'REA-PPR'!$A$2:$E$149,3,FALSE)="","",VLOOKUP($C55,'REA-PPR'!$A$2:$E$149,3,FALSE))</f>
        <v/>
      </c>
      <c r="T55" s="15" t="str">
        <f>IF(VLOOKUP(C55,'UW Rec Amts'!A:H,2,FALSE),"C","")</f>
        <v>C</v>
      </c>
      <c r="U55" s="378" t="str">
        <f>IF(VLOOKUP($C55,'REA-PPR'!$A$2:$E$149,5,FALSE)="","No",VLOOKUP($C55,'REA-PPR'!$A$2:$E$149,5,FALSE))</f>
        <v>No</v>
      </c>
      <c r="V55" s="320"/>
      <c r="Y55" s="15"/>
    </row>
    <row r="56" spans="1:25" ht="14.25" customHeight="1">
      <c r="A56" s="24"/>
      <c r="B56" s="120"/>
      <c r="C56" s="389">
        <v>18374</v>
      </c>
      <c r="D56" s="386" t="str">
        <f>VLOOKUP($C56,'DB Link APP'!$A$2:$T$323,2,FALSE)</f>
        <v>Wichita Falls Pioneer Crossing</v>
      </c>
      <c r="E56" s="386" t="str">
        <f>VLOOKUP($C56,'DB Link APP'!$A$2:$T$323,17,FALSE)</f>
        <v>Noor Jooma</v>
      </c>
      <c r="F56" s="376" t="str">
        <f>VLOOKUP(C56,'DB Link APP'!$A$3:$U$119,8,FALSE)</f>
        <v>Urban</v>
      </c>
      <c r="G56" s="387"/>
      <c r="H56" s="380"/>
      <c r="I56" s="377" t="str">
        <f>IF(VLOOKUP($C56,'DB Link APP'!$A$2:$T$323,11,FALSE)=0,"",VLOOKUP($C56,'DB Link APP'!$A$2:$T$323,11,FALSE))</f>
        <v/>
      </c>
      <c r="J56" s="520" t="str">
        <f>IF(VLOOKUP($C56,'DB Link APP'!$A$2:$N$149,13,FALSE)="General","",VLOOKUP($C56,'DB Link APP'!$A$2:$N$149,13,FALSE))</f>
        <v/>
      </c>
      <c r="K56" s="506">
        <f>VLOOKUP($C56,'DB Link APP'!$A$2:$T$323,16,FALSE)</f>
        <v>500000</v>
      </c>
      <c r="L56" s="485">
        <f>IF(ISNA(VLOOKUP(C56,'UW Rec Amts'!$A$2:$D$112,4,FALSE)),"",VLOOKUP(C56,'UW Rec Amts'!$A$2:$D$112,4,FALSE))</f>
        <v>500000</v>
      </c>
      <c r="M56" s="395">
        <f>+SUM(L$55:L56)/K$53</f>
        <v>2.2452471115006483</v>
      </c>
      <c r="N56" s="483">
        <f>+IF(M56&lt;=1,L56,0)</f>
        <v>0</v>
      </c>
      <c r="O56" s="118"/>
      <c r="P56" s="480"/>
      <c r="Q56" s="472">
        <f>+SUM(N56:P56)</f>
        <v>0</v>
      </c>
      <c r="R56" s="380" t="str">
        <f>+IF(N56&gt;0,"I",IF(O56&gt;0,"R",IF(P56&gt;0,"SW","")))</f>
        <v/>
      </c>
      <c r="S56" s="267" t="str">
        <f>IF(VLOOKUP($C56,'REA-PPR'!$A$2:$E$149,3,FALSE)="","",VLOOKUP($C56,'REA-PPR'!$A$2:$E$149,3,FALSE))</f>
        <v/>
      </c>
      <c r="T56" s="15" t="str">
        <f>IF(VLOOKUP(C56,'UW Rec Amts'!A:H,2,FALSE),"C","")</f>
        <v>C</v>
      </c>
      <c r="U56" s="378" t="str">
        <f>IF(VLOOKUP($C56,'REA-PPR'!$A$2:$E$149,5,FALSE)="","No",VLOOKUP($C56,'REA-PPR'!$A$2:$E$149,5,FALSE))</f>
        <v>No</v>
      </c>
      <c r="Y56" s="15"/>
    </row>
    <row r="57" spans="1:25" ht="13.5" customHeight="1">
      <c r="A57" s="27"/>
      <c r="B57" s="27"/>
      <c r="C57" s="364"/>
      <c r="D57" s="365"/>
      <c r="E57" s="365"/>
      <c r="F57" s="366"/>
      <c r="G57" s="367"/>
      <c r="H57" s="367"/>
      <c r="I57" s="365"/>
      <c r="J57" s="523"/>
      <c r="K57" s="481"/>
      <c r="L57" s="481"/>
      <c r="M57" s="372"/>
      <c r="N57" s="481"/>
      <c r="O57" s="365"/>
      <c r="P57" s="481"/>
      <c r="Q57" s="470"/>
      <c r="R57" s="368"/>
      <c r="U57" s="378"/>
      <c r="Y57" s="15"/>
    </row>
    <row r="58" spans="1:25">
      <c r="J58" s="272" t="s">
        <v>18</v>
      </c>
      <c r="K58" s="465">
        <f>+SUM(K54:K57)</f>
        <v>1187666</v>
      </c>
      <c r="L58" s="498" t="s">
        <v>19</v>
      </c>
      <c r="M58" s="243"/>
      <c r="N58" s="465">
        <f>+SUM(N54:N57)</f>
        <v>0</v>
      </c>
      <c r="P58" s="465">
        <f>+SUM(P54:P57)</f>
        <v>686427</v>
      </c>
      <c r="Q58" s="465">
        <f>+SUM(Q54:Q57)</f>
        <v>686427</v>
      </c>
      <c r="U58" s="378"/>
      <c r="Y58" s="15"/>
    </row>
    <row r="59" spans="1:25">
      <c r="J59" s="524"/>
      <c r="L59" s="498" t="s">
        <v>20</v>
      </c>
      <c r="M59" s="243"/>
      <c r="N59" s="25">
        <f>1-SUM($N58:N58)/$K53</f>
        <v>1</v>
      </c>
      <c r="O59" s="25"/>
      <c r="P59" s="25">
        <f>1-SUM($N58:P58)/$K53</f>
        <v>-0.29902492020668414</v>
      </c>
      <c r="Q59" s="25">
        <f>1-SUM($Q58:Q58)/$K53</f>
        <v>-0.29902492020668414</v>
      </c>
      <c r="U59" s="378"/>
      <c r="Y59" s="15"/>
    </row>
    <row r="60" spans="1:25" ht="6" customHeight="1">
      <c r="J60" s="524"/>
      <c r="M60" s="243"/>
      <c r="U60" s="378"/>
      <c r="Y60" s="15"/>
    </row>
    <row r="61" spans="1:25" ht="15.75">
      <c r="C61" s="354" t="s">
        <v>44</v>
      </c>
      <c r="D61" s="31" t="s">
        <v>6</v>
      </c>
      <c r="J61" s="272" t="str">
        <f>+J53</f>
        <v>Available</v>
      </c>
      <c r="K61" s="465">
        <f>+CEILING!L43</f>
        <v>653618.99565410125</v>
      </c>
      <c r="M61" s="243"/>
      <c r="U61" s="378"/>
      <c r="Y61" s="15"/>
    </row>
    <row r="62" spans="1:25" ht="18.75" customHeight="1">
      <c r="A62" s="24" t="e">
        <f>VLOOKUP($C62,#REF!,2,FALSE)</f>
        <v>#REF!</v>
      </c>
      <c r="B62" s="24" t="e">
        <f>VLOOKUP($C62,#REF!,6,FALSE)</f>
        <v>#REF!</v>
      </c>
      <c r="C62" s="361"/>
      <c r="D62" s="357"/>
      <c r="E62" s="357"/>
      <c r="F62" s="356"/>
      <c r="G62" s="362"/>
      <c r="H62" s="362"/>
      <c r="I62" s="357"/>
      <c r="J62" s="522"/>
      <c r="K62" s="471"/>
      <c r="L62" s="471"/>
      <c r="M62" s="370"/>
      <c r="N62" s="471"/>
      <c r="O62" s="357"/>
      <c r="P62" s="362"/>
      <c r="Q62" s="467"/>
      <c r="R62" s="363"/>
      <c r="U62" s="378"/>
      <c r="V62" s="156"/>
      <c r="Y62" s="15"/>
    </row>
    <row r="63" spans="1:25">
      <c r="A63" s="24"/>
      <c r="B63" s="120"/>
      <c r="C63" s="389">
        <v>18274</v>
      </c>
      <c r="D63" s="386" t="str">
        <f>VLOOKUP($C63,'DB Link APP'!$A$2:$T$323,2,FALSE)</f>
        <v>Hill Court Villas</v>
      </c>
      <c r="E63" s="386" t="str">
        <f>VLOOKUP($C63,'DB Link APP'!$A$2:$T$323,17,FALSE)</f>
        <v>Justin Zimmerman</v>
      </c>
      <c r="F63" s="376" t="str">
        <f>VLOOKUP(C63,'DB Link APP'!$A$3:$U$119,8,FALSE)</f>
        <v>Rural</v>
      </c>
      <c r="G63" s="387"/>
      <c r="H63" s="380"/>
      <c r="I63" s="377" t="str">
        <f>IF(VLOOKUP($C63,'DB Link APP'!$A$2:$T$323,11,FALSE)=0,"",VLOOKUP($C63,'DB Link APP'!$A$2:$T$323,11,FALSE))</f>
        <v/>
      </c>
      <c r="J63" s="520" t="str">
        <f>IF(VLOOKUP($C63,'DB Link APP'!$A$2:$N$149,13,FALSE)="General","",VLOOKUP($C63,'DB Link APP'!$A$2:$N$149,13,FALSE))</f>
        <v>Elderly Limitation</v>
      </c>
      <c r="K63" s="507">
        <f>VLOOKUP($C63,'DB Link APP'!$A$2:$T$323,16,FALSE)</f>
        <v>570000</v>
      </c>
      <c r="L63" s="485">
        <f>IF(ISNA(VLOOKUP(C63,'UW Rec Amts'!$A$2:$D$112,4,FALSE)),"",VLOOKUP(C63,'UW Rec Amts'!$A$2:$D$112,4,FALSE))</f>
        <v>570000</v>
      </c>
      <c r="M63" s="385">
        <f>+SUM(L$63:L63)/K$61</f>
        <v>0.87206767824974152</v>
      </c>
      <c r="N63" s="483">
        <f>+IF(M63&lt;=1,L63,0)</f>
        <v>570000</v>
      </c>
      <c r="O63" s="480"/>
      <c r="P63" s="480"/>
      <c r="Q63" s="468">
        <f t="shared" ref="Q63" si="11">+SUM(N63:P63)</f>
        <v>570000</v>
      </c>
      <c r="R63" s="380" t="str">
        <f t="shared" ref="R63" si="12">+IF(N63&gt;0,"I",IF(O63&gt;0,"R",IF(P63&gt;0,"SW","")))</f>
        <v>I</v>
      </c>
      <c r="S63" s="267" t="str">
        <f>IF(VLOOKUP($C63,'REA-PPR'!$A$2:$E$149,3,FALSE)="","",VLOOKUP($C63,'REA-PPR'!$A$2:$E$149,3,FALSE))</f>
        <v/>
      </c>
      <c r="T63" s="15" t="str">
        <f>IF(VLOOKUP(C63,'UW Rec Amts'!A:H,2,FALSE),"C","")</f>
        <v>C</v>
      </c>
      <c r="U63" s="378" t="str">
        <f>IF(VLOOKUP($C63,'REA-PPR'!$A$2:$E$149,5,FALSE)="","No",VLOOKUP($C63,'REA-PPR'!$A$2:$E$149,5,FALSE))</f>
        <v>No</v>
      </c>
      <c r="V63" s="156"/>
      <c r="Y63" s="15"/>
    </row>
    <row r="64" spans="1:25">
      <c r="A64" s="24" t="e">
        <f>VLOOKUP($C64,#REF!,2,FALSE)</f>
        <v>#REF!</v>
      </c>
      <c r="B64" s="120" t="e">
        <f>VLOOKUP($C64,#REF!,6,FALSE)</f>
        <v>#REF!</v>
      </c>
      <c r="C64" s="389">
        <v>18069</v>
      </c>
      <c r="D64" s="386" t="str">
        <f>VLOOKUP($C64,'DB Link APP'!$A$2:$T$323,2,FALSE)</f>
        <v>Palladium Farmersville</v>
      </c>
      <c r="E64" s="386" t="str">
        <f>VLOOKUP($C64,'DB Link APP'!$A$2:$T$323,17,FALSE)</f>
        <v>Thomas E. Huth</v>
      </c>
      <c r="F64" s="376" t="str">
        <f>VLOOKUP(C64,'DB Link APP'!$A$3:$U$119,8,FALSE)</f>
        <v>Rural</v>
      </c>
      <c r="G64" s="387"/>
      <c r="H64" s="380"/>
      <c r="I64" s="377" t="str">
        <f>IF(VLOOKUP($C64,'DB Link APP'!$A$2:$T$323,11,FALSE)=0,"",VLOOKUP($C64,'DB Link APP'!$A$2:$T$323,11,FALSE))</f>
        <v/>
      </c>
      <c r="J64" s="520" t="str">
        <f>IF(VLOOKUP($C64,'DB Link APP'!$A$2:$N$149,13,FALSE)="General","",VLOOKUP($C64,'DB Link APP'!$A$2:$N$149,13,FALSE))</f>
        <v/>
      </c>
      <c r="K64" s="506">
        <f>VLOOKUP($C64,'DB Link APP'!$A$2:$T$323,16,FALSE)</f>
        <v>833805</v>
      </c>
      <c r="L64" s="485">
        <f>IF(ISNA(VLOOKUP(C64,'UW Rec Amts'!$A$2:$D$112,4,FALSE)),"",VLOOKUP(C64,'UW Rec Amts'!$A$2:$D$112,4,FALSE))</f>
        <v>833805</v>
      </c>
      <c r="M64" s="385">
        <f>+SUM(L$63:L64)/K$61</f>
        <v>2.1477420474831201</v>
      </c>
      <c r="N64" s="483">
        <f t="shared" ref="N64:N65" si="13">+IF(M64&lt;=1,L64,0)</f>
        <v>0</v>
      </c>
      <c r="O64" s="480">
        <f>L64</f>
        <v>833805</v>
      </c>
      <c r="P64" s="480"/>
      <c r="Q64" s="468">
        <f>+SUM(N64:P64)</f>
        <v>833805</v>
      </c>
      <c r="R64" s="380" t="str">
        <f>+IF(N64&gt;0,"I",IF(O64&gt;0,"R",IF(P64&gt;0,"SW","")))</f>
        <v>R</v>
      </c>
      <c r="S64" s="267" t="str">
        <f>IF(VLOOKUP($C64,'REA-PPR'!$A$2:$E$149,3,FALSE)="","",VLOOKUP($C64,'REA-PPR'!$A$2:$E$149,3,FALSE))</f>
        <v/>
      </c>
      <c r="T64" s="15" t="str">
        <f>IF(VLOOKUP(C64,'UW Rec Amts'!A:H,2,FALSE),"C","")</f>
        <v>C</v>
      </c>
      <c r="U64" s="378" t="str">
        <f>IF(VLOOKUP($C64,'REA-PPR'!$A$2:$E$149,5,FALSE)="","No",VLOOKUP($C64,'REA-PPR'!$A$2:$E$149,5,FALSE))</f>
        <v>No</v>
      </c>
      <c r="V64" s="156"/>
    </row>
    <row r="65" spans="1:26">
      <c r="A65" s="24"/>
      <c r="B65" s="120"/>
      <c r="C65" s="389">
        <v>18057</v>
      </c>
      <c r="D65" s="386" t="str">
        <f>VLOOKUP($C65,'DB Link APP'!$A$2:$T$323,2,FALSE)</f>
        <v>Granbury Manor</v>
      </c>
      <c r="E65" s="386" t="str">
        <f>VLOOKUP($C65,'DB Link APP'!$A$2:$T$323,17,FALSE)</f>
        <v>David R. Rhodes</v>
      </c>
      <c r="F65" s="376" t="str">
        <f>VLOOKUP(C65,'DB Link APP'!$A$3:$U$119,8,FALSE)</f>
        <v>Rural</v>
      </c>
      <c r="G65" s="387"/>
      <c r="H65" s="380"/>
      <c r="I65" s="377"/>
      <c r="J65" s="520" t="str">
        <f>IF(VLOOKUP($C65,'DB Link APP'!$A$2:$N$149,13,FALSE)="General","",VLOOKUP($C65,'DB Link APP'!$A$2:$N$149,13,FALSE))</f>
        <v>Elderly Limitation</v>
      </c>
      <c r="K65" s="507">
        <f>VLOOKUP($C65,'DB Link APP'!$A$2:$T$323,16,FALSE)</f>
        <v>772000</v>
      </c>
      <c r="L65" s="485">
        <f>IF(ISNA(VLOOKUP(C65,'UW Rec Amts'!$A$2:$D$112,4,FALSE)),"",VLOOKUP(C65,'UW Rec Amts'!$A$2:$D$112,4,FALSE))</f>
        <v>772000</v>
      </c>
      <c r="M65" s="385">
        <f>+SUM(L$63:L65)/K$61</f>
        <v>3.3288582713582087</v>
      </c>
      <c r="N65" s="483">
        <f t="shared" si="13"/>
        <v>0</v>
      </c>
      <c r="O65" s="480"/>
      <c r="P65" s="480"/>
      <c r="Q65" s="468">
        <f>+SUM(N65:P65)</f>
        <v>0</v>
      </c>
      <c r="R65" s="380" t="str">
        <f>+IF(N65&gt;0,"I",IF(O65&gt;0,"R",IF(P65&gt;0,"SW","")))</f>
        <v/>
      </c>
      <c r="S65" s="267" t="str">
        <f>IF(VLOOKUP($C65,'REA-PPR'!$A$2:$E$149,3,FALSE)="","",VLOOKUP($C65,'REA-PPR'!$A$2:$E$149,3,FALSE))</f>
        <v/>
      </c>
      <c r="T65" s="15" t="str">
        <f>IF(VLOOKUP(C65,'UW Rec Amts'!A:H,2,FALSE),"C","")</f>
        <v>C</v>
      </c>
      <c r="U65" s="378" t="str">
        <f>IF(VLOOKUP($C65,'REA-PPR'!$A$2:$E$149,5,FALSE)="","No",VLOOKUP($C65,'REA-PPR'!$A$2:$E$149,5,FALSE))</f>
        <v>No</v>
      </c>
      <c r="V65" s="156"/>
    </row>
    <row r="66" spans="1:26" ht="17.25" customHeight="1">
      <c r="A66" s="27"/>
      <c r="B66" s="27"/>
      <c r="C66" s="364"/>
      <c r="D66" s="365"/>
      <c r="E66" s="365"/>
      <c r="F66" s="366"/>
      <c r="G66" s="367"/>
      <c r="H66" s="367"/>
      <c r="I66" s="365"/>
      <c r="J66" s="523"/>
      <c r="K66" s="481"/>
      <c r="L66" s="481"/>
      <c r="M66" s="372"/>
      <c r="N66" s="481"/>
      <c r="O66" s="481"/>
      <c r="P66" s="481"/>
      <c r="Q66" s="470"/>
      <c r="R66" s="368"/>
      <c r="U66" s="378"/>
      <c r="V66" s="156"/>
    </row>
    <row r="67" spans="1:26">
      <c r="J67" s="272" t="s">
        <v>18</v>
      </c>
      <c r="K67" s="465">
        <f>+SUM(K62:K66)</f>
        <v>2175805</v>
      </c>
      <c r="L67" s="498" t="s">
        <v>19</v>
      </c>
      <c r="M67" s="243"/>
      <c r="N67" s="465">
        <f>+SUM(N62:N66)</f>
        <v>570000</v>
      </c>
      <c r="O67" s="465">
        <f>+SUM(O62:O66)</f>
        <v>833805</v>
      </c>
      <c r="P67" s="465">
        <f>+SUM(P62:P66)</f>
        <v>0</v>
      </c>
      <c r="Q67" s="465">
        <f>+SUM(Q62:Q66)</f>
        <v>1403805</v>
      </c>
      <c r="U67" s="378"/>
      <c r="V67" s="156"/>
    </row>
    <row r="68" spans="1:26">
      <c r="J68" s="524"/>
      <c r="L68" s="498" t="s">
        <v>20</v>
      </c>
      <c r="M68" s="243"/>
      <c r="N68" s="25">
        <f>1-SUM($N67:N67)/$K61</f>
        <v>0.12793232175025848</v>
      </c>
      <c r="O68" s="25">
        <f>1-SUM($N67:O67)/$K61</f>
        <v>-1.1477420474831201</v>
      </c>
      <c r="P68" s="25">
        <f>1-SUM($N67:P67)/$K61</f>
        <v>-1.1477420474831201</v>
      </c>
      <c r="Q68" s="25">
        <f>1-SUM($Q67:Q67)/$K61</f>
        <v>-1.1477420474831201</v>
      </c>
      <c r="U68" s="378"/>
      <c r="V68" s="156"/>
    </row>
    <row r="69" spans="1:26" ht="5.25" customHeight="1">
      <c r="J69" s="524"/>
      <c r="M69" s="243"/>
      <c r="U69" s="378"/>
      <c r="V69" s="156"/>
    </row>
    <row r="70" spans="1:26" ht="15.75">
      <c r="C70" s="354" t="s">
        <v>44</v>
      </c>
      <c r="D70" s="31" t="s">
        <v>14</v>
      </c>
      <c r="J70" s="272" t="str">
        <f>+J61</f>
        <v>Available</v>
      </c>
      <c r="K70" s="465">
        <f>+CEILING!L29</f>
        <v>15780549.000299871</v>
      </c>
      <c r="M70" s="243"/>
      <c r="U70" s="378"/>
      <c r="V70" s="156"/>
    </row>
    <row r="71" spans="1:26" ht="12" customHeight="1">
      <c r="A71" s="24" t="e">
        <f>VLOOKUP($C71,#REF!,2,FALSE)</f>
        <v>#REF!</v>
      </c>
      <c r="B71" s="24" t="e">
        <f>VLOOKUP($C71,#REF!,6,FALSE)</f>
        <v>#REF!</v>
      </c>
      <c r="C71" s="361"/>
      <c r="D71" s="357"/>
      <c r="E71" s="357"/>
      <c r="F71" s="356"/>
      <c r="G71" s="362"/>
      <c r="H71" s="362"/>
      <c r="I71" s="357"/>
      <c r="J71" s="522"/>
      <c r="K71" s="471"/>
      <c r="L71" s="471"/>
      <c r="M71" s="370"/>
      <c r="N71" s="471"/>
      <c r="O71" s="29"/>
      <c r="P71" s="362"/>
      <c r="Q71" s="467"/>
      <c r="R71" s="363"/>
      <c r="U71" s="378"/>
      <c r="V71" s="156"/>
    </row>
    <row r="72" spans="1:26" ht="12.75">
      <c r="A72" s="129"/>
      <c r="B72" s="129"/>
      <c r="C72" s="390">
        <v>18018</v>
      </c>
      <c r="D72" s="376" t="str">
        <f>VLOOKUP($C72,'DB Link APP'!$A$2:$T$323,2,FALSE)</f>
        <v>Columbia Renaissance Square II Senior</v>
      </c>
      <c r="E72" s="376" t="str">
        <f>VLOOKUP($C72,'DB Link APP'!$A$2:$T$323,17,FALSE)</f>
        <v>Ben King</v>
      </c>
      <c r="F72" s="376" t="str">
        <f>VLOOKUP(C72,'DB Link APP'!$A$3:$U$119,8,FALSE)</f>
        <v>Urban</v>
      </c>
      <c r="G72" s="383"/>
      <c r="H72" s="384"/>
      <c r="I72" s="377" t="str">
        <f>IF(VLOOKUP($C72,'DB Link APP'!$A$2:$T$323,11,FALSE)=0,"",VLOOKUP($C72,'DB Link APP'!$A$2:$T$323,11,FALSE))</f>
        <v/>
      </c>
      <c r="J72" s="520" t="str">
        <f>IF(VLOOKUP($C72,'DB Link APP'!$A$2:$N$149,13,FALSE)="General","",VLOOKUP($C72,'DB Link APP'!$A$2:$N$149,13,FALSE))</f>
        <v>Elderly Limitation</v>
      </c>
      <c r="K72" s="507">
        <f>VLOOKUP($C72,'DB Link APP'!$A$2:$T$323,16,FALSE)</f>
        <v>1500000</v>
      </c>
      <c r="L72" s="485">
        <f>IF(ISNA(VLOOKUP(C72,'UW Rec Amts'!$A$2:$D$112,4,FALSE)),"",VLOOKUP(C72,'UW Rec Amts'!$A$2:$D$112,4,FALSE))</f>
        <v>1500000</v>
      </c>
      <c r="M72" s="385">
        <f>+SUM(L$72:L72)/K$70</f>
        <v>9.5053727216429296E-2</v>
      </c>
      <c r="N72" s="485">
        <f>+IF(M72&lt;=1,L72,0)</f>
        <v>1500000</v>
      </c>
      <c r="O72" s="118"/>
      <c r="P72" s="480"/>
      <c r="Q72" s="468">
        <f>+SUM(N72:P72)</f>
        <v>1500000</v>
      </c>
      <c r="R72" s="380" t="str">
        <f>+IF(N72&gt;0,"I",IF(O72&gt;0,"R",IF(P72&gt;0,"SW","")))</f>
        <v>I</v>
      </c>
      <c r="S72" s="267" t="str">
        <f>IF(VLOOKUP($C72,'REA-PPR'!$A$2:$E$149,3,FALSE)="","",VLOOKUP($C72,'REA-PPR'!$A$2:$E$149,3,FALSE))</f>
        <v/>
      </c>
      <c r="T72" s="15" t="str">
        <f>IF(VLOOKUP(C72,'UW Rec Amts'!A:H,2,FALSE),"C","")</f>
        <v>C</v>
      </c>
      <c r="U72" s="378" t="str">
        <f>IF(VLOOKUP($C72,'REA-PPR'!$A$2:$E$149,5,FALSE)="","No",VLOOKUP($C72,'REA-PPR'!$A$2:$E$149,5,FALSE))</f>
        <v>No</v>
      </c>
      <c r="V72" s="320"/>
      <c r="Z72" s="21"/>
    </row>
    <row r="73" spans="1:26" ht="12.75">
      <c r="A73" s="24"/>
      <c r="B73" s="120"/>
      <c r="C73" s="390">
        <v>18361</v>
      </c>
      <c r="D73" s="386" t="str">
        <f>VLOOKUP($C73,'DB Link APP'!$A$2:$T$323,2,FALSE)</f>
        <v>Canova Palms</v>
      </c>
      <c r="E73" s="386" t="str">
        <f>VLOOKUP($C73,'DB Link APP'!$A$2:$T$323,17,FALSE)</f>
        <v>Lisa Stephens</v>
      </c>
      <c r="F73" s="376" t="str">
        <f>VLOOKUP(C73,'DB Link APP'!$A$3:$U$119,8,FALSE)</f>
        <v>Urban</v>
      </c>
      <c r="G73" s="387"/>
      <c r="H73" s="380"/>
      <c r="I73" s="377" t="str">
        <f>IF(VLOOKUP($C73,'DB Link APP'!$A$2:$T$323,11,FALSE)=0,"",VLOOKUP($C73,'DB Link APP'!$A$2:$T$323,11,FALSE))</f>
        <v/>
      </c>
      <c r="J73" s="520" t="str">
        <f>IF(VLOOKUP($C73,'DB Link APP'!$A$2:$N$149,13,FALSE)="General","",VLOOKUP($C73,'DB Link APP'!$A$2:$N$149,13,FALSE))</f>
        <v>Elderly Limitation</v>
      </c>
      <c r="K73" s="507">
        <f>VLOOKUP($C73,'DB Link APP'!$A$2:$T$323,16,FALSE)</f>
        <v>890850</v>
      </c>
      <c r="L73" s="485">
        <f>IF(ISNA(VLOOKUP(C73,'UW Rec Amts'!$A$2:$D$112,4,FALSE)),"",VLOOKUP(C73,'UW Rec Amts'!$A$2:$D$112,4,FALSE))</f>
        <v>890850</v>
      </c>
      <c r="M73" s="385">
        <f>+SUM(L$72:L73)/K$70</f>
        <v>0.15150613581026665</v>
      </c>
      <c r="N73" s="485">
        <f t="shared" ref="N73:N96" si="14">+IF(M73&lt;=1,L73,0)</f>
        <v>890850</v>
      </c>
      <c r="O73" s="118"/>
      <c r="P73" s="480"/>
      <c r="Q73" s="468">
        <f t="shared" ref="Q73:Q96" si="15">+SUM(N73:P73)</f>
        <v>890850</v>
      </c>
      <c r="R73" s="380" t="str">
        <f t="shared" ref="R73:R96" si="16">+IF(N73&gt;0,"I",IF(O73&gt;0,"R",IF(P73&gt;0,"SW","")))</f>
        <v>I</v>
      </c>
      <c r="S73" s="267" t="str">
        <f>IF(VLOOKUP($C73,'REA-PPR'!$A$2:$E$149,3,FALSE)="","",VLOOKUP($C73,'REA-PPR'!$A$2:$E$149,3,FALSE))</f>
        <v/>
      </c>
      <c r="T73" s="15" t="str">
        <f>IF(VLOOKUP(C73,'UW Rec Amts'!A:H,2,FALSE),"C","")</f>
        <v>C</v>
      </c>
      <c r="U73" s="378" t="str">
        <f>IF(VLOOKUP($C73,'REA-PPR'!$A$2:$E$149,5,FALSE)="","No",VLOOKUP($C73,'REA-PPR'!$A$2:$E$149,5,FALSE))</f>
        <v>No</v>
      </c>
      <c r="V73" s="156"/>
    </row>
    <row r="74" spans="1:26" ht="12.75">
      <c r="A74" s="129"/>
      <c r="B74" s="129"/>
      <c r="C74" s="390">
        <v>18091</v>
      </c>
      <c r="D74" s="386" t="str">
        <f>VLOOKUP($C74,'DB Link APP'!$A$2:$T$323,2,FALSE)</f>
        <v xml:space="preserve">Lavon Senior Villas </v>
      </c>
      <c r="E74" s="386" t="str">
        <f>VLOOKUP($C74,'DB Link APP'!$A$2:$T$323,17,FALSE)</f>
        <v>David Yarden</v>
      </c>
      <c r="F74" s="376" t="str">
        <f>VLOOKUP(C74,'DB Link APP'!$A$3:$U$119,8,FALSE)</f>
        <v>Urban</v>
      </c>
      <c r="G74" s="387"/>
      <c r="H74" s="380"/>
      <c r="I74" s="377" t="str">
        <f>IF(VLOOKUP($C74,'DB Link APP'!$A$2:$T$323,11,FALSE)=0,"",VLOOKUP($C74,'DB Link APP'!$A$2:$T$323,11,FALSE))</f>
        <v/>
      </c>
      <c r="J74" s="520" t="str">
        <f>IF(VLOOKUP($C74,'DB Link APP'!$A$2:$N$149,13,FALSE)="General","",VLOOKUP($C74,'DB Link APP'!$A$2:$N$149,13,FALSE))</f>
        <v>Elderly Limitation</v>
      </c>
      <c r="K74" s="507">
        <f>VLOOKUP($C74,'DB Link APP'!$A$2:$T$323,16,FALSE)</f>
        <v>1500000</v>
      </c>
      <c r="L74" s="485">
        <f>IF(ISNA(VLOOKUP(C74,'UW Rec Amts'!$A$2:$D$112,4,FALSE)),"",VLOOKUP(C74,'UW Rec Amts'!$A$2:$D$112,4,FALSE))</f>
        <v>1500000</v>
      </c>
      <c r="M74" s="385">
        <f>+SUM(L$72:L74)/K$70</f>
        <v>0.24655986302669597</v>
      </c>
      <c r="N74" s="485">
        <f t="shared" si="14"/>
        <v>1500000</v>
      </c>
      <c r="O74" s="118"/>
      <c r="P74" s="480"/>
      <c r="Q74" s="468">
        <f t="shared" si="15"/>
        <v>1500000</v>
      </c>
      <c r="R74" s="380" t="str">
        <f t="shared" si="16"/>
        <v>I</v>
      </c>
      <c r="S74" s="267" t="str">
        <f>IF(VLOOKUP($C74,'REA-PPR'!$A$2:$E$149,3,FALSE)="","",VLOOKUP($C74,'REA-PPR'!$A$2:$E$149,3,FALSE))</f>
        <v/>
      </c>
      <c r="T74" s="15" t="str">
        <f>IF(VLOOKUP(C74,'UW Rec Amts'!A:H,2,FALSE),"C","")</f>
        <v>C</v>
      </c>
      <c r="U74" s="378" t="str">
        <f>IF(VLOOKUP($C74,'REA-PPR'!$A$2:$E$149,5,FALSE)="","No",VLOOKUP($C74,'REA-PPR'!$A$2:$E$149,5,FALSE))</f>
        <v>No</v>
      </c>
      <c r="V74" s="156"/>
    </row>
    <row r="75" spans="1:26" ht="12.75">
      <c r="A75" s="24"/>
      <c r="B75" s="120"/>
      <c r="C75" s="390">
        <v>18376</v>
      </c>
      <c r="D75" s="386" t="str">
        <f>VLOOKUP($C75,'DB Link APP'!$A$2:$T$323,2,FALSE)</f>
        <v>Lakeview Pointe Apartments</v>
      </c>
      <c r="E75" s="386" t="str">
        <f>VLOOKUP($C75,'DB Link APP'!$A$2:$T$323,17,FALSE)</f>
        <v>Deepak P. Sulakhe</v>
      </c>
      <c r="F75" s="376" t="str">
        <f>VLOOKUP(C75,'DB Link APP'!$A$3:$U$119,8,FALSE)</f>
        <v>Urban</v>
      </c>
      <c r="G75" s="387"/>
      <c r="H75" s="380"/>
      <c r="I75" s="377" t="str">
        <f>IF(VLOOKUP($C75,'DB Link APP'!$A$2:$T$323,11,FALSE)=0,"",VLOOKUP($C75,'DB Link APP'!$A$2:$T$323,11,FALSE))</f>
        <v/>
      </c>
      <c r="J75" s="520" t="str">
        <f>IF(VLOOKUP($C75,'DB Link APP'!$A$2:$N$149,13,FALSE)="General","",VLOOKUP($C75,'DB Link APP'!$A$2:$N$149,13,FALSE))</f>
        <v/>
      </c>
      <c r="K75" s="506">
        <f>VLOOKUP($C75,'DB Link APP'!$A$2:$T$323,16,FALSE)</f>
        <v>1500000</v>
      </c>
      <c r="L75" s="485">
        <f>IF(ISNA(VLOOKUP(C75,'UW Rec Amts'!$A$2:$D$112,4,FALSE)),"",VLOOKUP(C75,'UW Rec Amts'!$A$2:$D$112,4,FALSE))</f>
        <v>1500000</v>
      </c>
      <c r="M75" s="385">
        <f>+SUM(L$72:L75)/K$70</f>
        <v>0.34161359024312526</v>
      </c>
      <c r="N75" s="485">
        <f t="shared" si="14"/>
        <v>1500000</v>
      </c>
      <c r="O75" s="118"/>
      <c r="P75" s="480"/>
      <c r="Q75" s="468">
        <f t="shared" si="15"/>
        <v>1500000</v>
      </c>
      <c r="R75" s="380" t="str">
        <f t="shared" si="16"/>
        <v>I</v>
      </c>
      <c r="S75" s="267" t="str">
        <f>IF(VLOOKUP($C75,'REA-PPR'!$A$2:$E$149,3,FALSE)="","",VLOOKUP($C75,'REA-PPR'!$A$2:$E$149,3,FALSE))</f>
        <v/>
      </c>
      <c r="T75" s="15" t="str">
        <f>IF(VLOOKUP(C75,'UW Rec Amts'!A:H,2,FALSE),"C","")</f>
        <v>C</v>
      </c>
      <c r="U75" s="378" t="str">
        <f>IF(VLOOKUP($C75,'REA-PPR'!$A$2:$E$149,5,FALSE)="","No",VLOOKUP($C75,'REA-PPR'!$A$2:$E$149,5,FALSE))</f>
        <v>No</v>
      </c>
    </row>
    <row r="76" spans="1:26" ht="12.75">
      <c r="A76" s="24"/>
      <c r="B76" s="120"/>
      <c r="C76" s="390">
        <v>18214</v>
      </c>
      <c r="D76" s="376" t="str">
        <f>VLOOKUP($C76,'DB Link APP'!$A$2:$T$323,2,FALSE)</f>
        <v>Mariposa Apartment Homes at Westchester</v>
      </c>
      <c r="E76" s="376" t="str">
        <f>VLOOKUP($C76,'DB Link APP'!$A$2:$T$323,17,FALSE)</f>
        <v>Stuart Shaw</v>
      </c>
      <c r="F76" s="376" t="str">
        <f>VLOOKUP(C76,'DB Link APP'!$A$3:$U$119,8,FALSE)</f>
        <v>Urban</v>
      </c>
      <c r="G76" s="383"/>
      <c r="H76" s="384"/>
      <c r="I76" s="377" t="str">
        <f>IF(VLOOKUP($C76,'DB Link APP'!$A$2:$T$323,11,FALSE)=0,"",VLOOKUP($C76,'DB Link APP'!$A$2:$T$323,11,FALSE))</f>
        <v/>
      </c>
      <c r="J76" s="520" t="str">
        <f>IF(VLOOKUP($C76,'DB Link APP'!$A$2:$N$149,13,FALSE)="General","",VLOOKUP($C76,'DB Link APP'!$A$2:$N$149,13,FALSE))</f>
        <v>Elderly Limitation</v>
      </c>
      <c r="K76" s="507">
        <f>VLOOKUP($C76,'DB Link APP'!$A$2:$T$323,16,FALSE)</f>
        <v>1009000</v>
      </c>
      <c r="L76" s="485">
        <f>IF(ISNA(VLOOKUP(C76,'UW Rec Amts'!$A$2:$D$112,4,FALSE)),"",VLOOKUP(C76,'UW Rec Amts'!$A$2:$D$112,4,FALSE))</f>
        <v>1001246</v>
      </c>
      <c r="M76" s="385">
        <f>+SUM(L$72:L76)/K$70</f>
        <v>0.40506169968348588</v>
      </c>
      <c r="N76" s="485">
        <f t="shared" si="14"/>
        <v>1001246</v>
      </c>
      <c r="O76" s="118"/>
      <c r="P76" s="480"/>
      <c r="Q76" s="468">
        <f t="shared" si="15"/>
        <v>1001246</v>
      </c>
      <c r="R76" s="380" t="str">
        <f t="shared" si="16"/>
        <v>I</v>
      </c>
      <c r="S76" s="267" t="str">
        <f>IF(VLOOKUP($C76,'REA-PPR'!$A$2:$E$149,3,FALSE)="","",VLOOKUP($C76,'REA-PPR'!$A$2:$E$149,3,FALSE))</f>
        <v/>
      </c>
      <c r="T76" s="15" t="str">
        <f>IF(VLOOKUP(C76,'UW Rec Amts'!A:H,2,FALSE),"C","")</f>
        <v>C</v>
      </c>
      <c r="U76" s="378" t="str">
        <f>IF(VLOOKUP($C76,'REA-PPR'!$A$2:$E$149,5,FALSE)="","No",VLOOKUP($C76,'REA-PPR'!$A$2:$E$149,5,FALSE))</f>
        <v>No</v>
      </c>
      <c r="V76" s="269"/>
    </row>
    <row r="77" spans="1:26" ht="12.75">
      <c r="A77" s="129"/>
      <c r="B77" s="129"/>
      <c r="C77" s="390">
        <v>18096</v>
      </c>
      <c r="D77" s="386" t="str">
        <f>VLOOKUP($C77,'DB Link APP'!$A$2:$T$323,2,FALSE)</f>
        <v>Patriot Park Family</v>
      </c>
      <c r="E77" s="386" t="str">
        <f>VLOOKUP($C77,'DB Link APP'!$A$2:$T$323,17,FALSE)</f>
        <v>Jean Brown</v>
      </c>
      <c r="F77" s="376" t="str">
        <f>VLOOKUP(C77,'DB Link APP'!$A$3:$U$119,8,FALSE)</f>
        <v>Urban</v>
      </c>
      <c r="G77" s="387"/>
      <c r="H77" s="380"/>
      <c r="I77" s="377" t="s">
        <v>162</v>
      </c>
      <c r="J77" s="520" t="str">
        <f>IF(VLOOKUP($C77,'DB Link APP'!$A$2:$N$149,13,FALSE)="General","",VLOOKUP($C77,'DB Link APP'!$A$2:$N$149,13,FALSE))</f>
        <v/>
      </c>
      <c r="K77" s="506">
        <f>VLOOKUP($C77,'DB Link APP'!$A$2:$T$323,16,FALSE)</f>
        <v>1500000</v>
      </c>
      <c r="L77" s="485">
        <f>IF(ISNA(VLOOKUP(C77,'UW Rec Amts'!$A$2:$D$112,4,FALSE)),"",VLOOKUP(C77,'UW Rec Amts'!$A$2:$D$112,4,FALSE))</f>
        <v>1500000</v>
      </c>
      <c r="M77" s="385">
        <f>+SUM(L$72:L77)/K$70</f>
        <v>0.50011542689991517</v>
      </c>
      <c r="N77" s="485">
        <f t="shared" si="14"/>
        <v>1500000</v>
      </c>
      <c r="O77" s="118"/>
      <c r="P77" s="480"/>
      <c r="Q77" s="468">
        <f t="shared" si="15"/>
        <v>1500000</v>
      </c>
      <c r="R77" s="380" t="str">
        <f t="shared" si="16"/>
        <v>I</v>
      </c>
      <c r="S77" s="267" t="str">
        <f>IF(VLOOKUP($C77,'REA-PPR'!$A$2:$E$149,3,FALSE)="","",VLOOKUP($C77,'REA-PPR'!$A$2:$E$149,3,FALSE))</f>
        <v/>
      </c>
      <c r="T77" s="15" t="str">
        <f>IF(VLOOKUP(C77,'UW Rec Amts'!A:H,2,FALSE),"C","")</f>
        <v>C</v>
      </c>
      <c r="U77" s="378" t="str">
        <f>IF(VLOOKUP($C77,'REA-PPR'!$A$2:$E$149,5,FALSE)="","No",VLOOKUP($C77,'REA-PPR'!$A$2:$E$149,5,FALSE))</f>
        <v>No</v>
      </c>
      <c r="V77" s="156"/>
    </row>
    <row r="78" spans="1:26" ht="12.75">
      <c r="A78" s="129"/>
      <c r="B78" s="129"/>
      <c r="C78" s="390">
        <v>18087</v>
      </c>
      <c r="D78" s="386" t="str">
        <f>VLOOKUP($C78,'DB Link APP'!$A$2:$T$323,2,FALSE)</f>
        <v>Residences of Long Branch</v>
      </c>
      <c r="E78" s="386" t="str">
        <f>VLOOKUP($C78,'DB Link APP'!$A$2:$T$323,17,FALSE)</f>
        <v>Jean Latsha</v>
      </c>
      <c r="F78" s="376" t="str">
        <f>VLOOKUP(C78,'DB Link APP'!$A$3:$U$119,8,FALSE)</f>
        <v>Urban</v>
      </c>
      <c r="G78" s="387"/>
      <c r="H78" s="380"/>
      <c r="I78" s="377" t="str">
        <f>IF(VLOOKUP($C78,'DB Link APP'!$A$2:$T$323,11,FALSE)=0,"",VLOOKUP($C78,'DB Link APP'!$A$2:$T$323,11,FALSE))</f>
        <v/>
      </c>
      <c r="J78" s="520" t="str">
        <f>IF(VLOOKUP($C78,'DB Link APP'!$A$2:$N$149,13,FALSE)="General","",VLOOKUP($C78,'DB Link APP'!$A$2:$N$149,13,FALSE))</f>
        <v/>
      </c>
      <c r="K78" s="506">
        <f>VLOOKUP($C78,'DB Link APP'!$A$2:$T$323,16,FALSE)</f>
        <v>1500000</v>
      </c>
      <c r="L78" s="485">
        <f>IF(ISNA(VLOOKUP(C78,'UW Rec Amts'!$A$2:$D$112,4,FALSE)),"",VLOOKUP(C78,'UW Rec Amts'!$A$2:$D$112,4,FALSE))</f>
        <v>1500000</v>
      </c>
      <c r="M78" s="385">
        <f>+SUM(L$72:L78)/K$70</f>
        <v>0.59516915411634452</v>
      </c>
      <c r="N78" s="485">
        <f t="shared" ref="N78:N89" si="17">+IF(M78&lt;=1,L78,0)</f>
        <v>1500000</v>
      </c>
      <c r="O78" s="118"/>
      <c r="P78" s="480"/>
      <c r="Q78" s="468">
        <f t="shared" ref="Q78:Q89" si="18">+SUM(N78:P78)</f>
        <v>1500000</v>
      </c>
      <c r="R78" s="380" t="str">
        <f t="shared" ref="R78:R89" si="19">+IF(N78&gt;0,"I",IF(O78&gt;0,"R",IF(P78&gt;0,"SW","")))</f>
        <v>I</v>
      </c>
      <c r="S78" s="267" t="str">
        <f>IF(VLOOKUP($C78,'REA-PPR'!$A$2:$E$149,3,FALSE)="","",VLOOKUP($C78,'REA-PPR'!$A$2:$E$149,3,FALSE))</f>
        <v/>
      </c>
      <c r="T78" s="15" t="str">
        <f>IF(VLOOKUP(C78,'UW Rec Amts'!A:H,2,FALSE),"C","")</f>
        <v>C</v>
      </c>
      <c r="U78" s="378" t="str">
        <f>IF(VLOOKUP($C78,'REA-PPR'!$A$2:$E$149,5,FALSE)="","No",VLOOKUP($C78,'REA-PPR'!$A$2:$E$149,5,FALSE))</f>
        <v>No</v>
      </c>
      <c r="V78" s="320"/>
      <c r="Z78" s="21"/>
    </row>
    <row r="79" spans="1:26" ht="12.75">
      <c r="A79" s="129"/>
      <c r="B79" s="129"/>
      <c r="C79" s="390">
        <v>18024</v>
      </c>
      <c r="D79" s="391" t="str">
        <f>VLOOKUP($C79,'DB Link APP'!$A$2:$T$323,2,FALSE)</f>
        <v>Palladium Celina Senior Living</v>
      </c>
      <c r="E79" s="391" t="str">
        <f>VLOOKUP($C79,'DB Link APP'!$A$2:$T$323,17,FALSE)</f>
        <v>Thomas E. Huth</v>
      </c>
      <c r="F79" s="391" t="str">
        <f>VLOOKUP(C79,'DB Link APP'!$A$3:$U$119,8,FALSE)</f>
        <v>Urban</v>
      </c>
      <c r="G79" s="392"/>
      <c r="H79" s="393"/>
      <c r="I79" s="394" t="str">
        <f>IF(VLOOKUP($C79,'DB Link APP'!$A$2:$T$323,11,FALSE)=0,"",VLOOKUP($C79,'DB Link APP'!$A$2:$T$323,11,FALSE))</f>
        <v/>
      </c>
      <c r="J79" s="520" t="str">
        <f>IF(VLOOKUP($C79,'DB Link APP'!$A$2:$N$149,13,FALSE)="General","",VLOOKUP($C79,'DB Link APP'!$A$2:$N$149,13,FALSE))</f>
        <v>Elderly Limitation</v>
      </c>
      <c r="K79" s="507">
        <f>VLOOKUP($C79,'DB Link APP'!$A$2:$T$323,16,FALSE)</f>
        <v>1500000</v>
      </c>
      <c r="L79" s="499">
        <v>0</v>
      </c>
      <c r="M79" s="385">
        <f>+SUM(L$72:L79)/K$70</f>
        <v>0.59516915411634452</v>
      </c>
      <c r="N79" s="485">
        <f t="shared" si="17"/>
        <v>0</v>
      </c>
      <c r="O79" s="118"/>
      <c r="P79" s="480"/>
      <c r="Q79" s="468">
        <f t="shared" si="18"/>
        <v>0</v>
      </c>
      <c r="R79" s="380" t="str">
        <f t="shared" si="19"/>
        <v/>
      </c>
      <c r="S79" s="267" t="str">
        <f>IF(VLOOKUP($C79,'REA-PPR'!$A$2:$E$149,3,FALSE)="","",VLOOKUP($C79,'REA-PPR'!$A$2:$E$149,3,FALSE))</f>
        <v/>
      </c>
      <c r="T79" s="15" t="str">
        <f>IF(VLOOKUP(C79,'UW Rec Amts'!A:H,2,FALSE),"C","")</f>
        <v>C</v>
      </c>
      <c r="U79" s="378" t="str">
        <f>IF(VLOOKUP($C79,'REA-PPR'!$A$2:$E$149,5,FALSE)="","No",VLOOKUP($C79,'REA-PPR'!$A$2:$E$149,5,FALSE))</f>
        <v>No</v>
      </c>
      <c r="V79" s="320"/>
      <c r="Z79" s="21"/>
    </row>
    <row r="80" spans="1:26" ht="12.75">
      <c r="A80" s="24"/>
      <c r="B80" s="120"/>
      <c r="C80" s="390">
        <v>18298</v>
      </c>
      <c r="D80" s="391" t="str">
        <f>VLOOKUP($C80,'DB Link APP'!$A$2:$T$323,2,FALSE)</f>
        <v>Heritage at Wylie</v>
      </c>
      <c r="E80" s="391" t="str">
        <f>VLOOKUP($C80,'DB Link APP'!$A$2:$T$323,17,FALSE)</f>
        <v>Lisa M. Rucker</v>
      </c>
      <c r="F80" s="391" t="str">
        <f>VLOOKUP(C80,'DB Link APP'!$A$3:$U$119,8,FALSE)</f>
        <v>Urban</v>
      </c>
      <c r="G80" s="392"/>
      <c r="H80" s="393"/>
      <c r="I80" s="394" t="str">
        <f>IF(VLOOKUP($C80,'DB Link APP'!$A$2:$T$323,11,FALSE)=0,"",VLOOKUP($C80,'DB Link APP'!$A$2:$T$323,11,FALSE))</f>
        <v/>
      </c>
      <c r="J80" s="520" t="str">
        <f>IF(VLOOKUP($C80,'DB Link APP'!$A$2:$N$149,13,FALSE)="General","",VLOOKUP($C80,'DB Link APP'!$A$2:$N$149,13,FALSE))</f>
        <v>Elderly Limitation</v>
      </c>
      <c r="K80" s="507">
        <f>VLOOKUP($C80,'DB Link APP'!$A$2:$T$323,16,FALSE)</f>
        <v>1500000</v>
      </c>
      <c r="L80" s="499">
        <v>0</v>
      </c>
      <c r="M80" s="385">
        <f>+SUM(L$72:L80)/K$70</f>
        <v>0.59516915411634452</v>
      </c>
      <c r="N80" s="485">
        <f t="shared" si="17"/>
        <v>0</v>
      </c>
      <c r="O80" s="118"/>
      <c r="P80" s="480"/>
      <c r="Q80" s="468">
        <f t="shared" si="18"/>
        <v>0</v>
      </c>
      <c r="R80" s="380" t="str">
        <f t="shared" si="19"/>
        <v/>
      </c>
      <c r="S80" s="267" t="str">
        <f>IF(VLOOKUP($C80,'REA-PPR'!$A$2:$E$149,3,FALSE)="","",VLOOKUP($C80,'REA-PPR'!$A$2:$E$149,3,FALSE))</f>
        <v/>
      </c>
      <c r="T80" s="15" t="str">
        <f>IF(VLOOKUP(C80,'UW Rec Amts'!A:H,2,FALSE),"C","")</f>
        <v>C</v>
      </c>
      <c r="U80" s="378" t="str">
        <f>IF(VLOOKUP($C80,'REA-PPR'!$A$2:$E$149,5,FALSE)="","No",VLOOKUP($C80,'REA-PPR'!$A$2:$E$149,5,FALSE))</f>
        <v>No</v>
      </c>
      <c r="V80" s="336"/>
    </row>
    <row r="81" spans="1:26" ht="12.75">
      <c r="A81" s="129"/>
      <c r="B81" s="129"/>
      <c r="C81" s="390">
        <v>18220</v>
      </c>
      <c r="D81" s="391" t="str">
        <f>VLOOKUP($C81,'DB Link APP'!$A$2:$T$323,2,FALSE)</f>
        <v>Mariposa Apartment Homes at Waxahachie</v>
      </c>
      <c r="E81" s="391" t="str">
        <f>VLOOKUP($C81,'DB Link APP'!$A$2:$T$323,17,FALSE)</f>
        <v>Stuart Shaw</v>
      </c>
      <c r="F81" s="391" t="str">
        <f>VLOOKUP(C81,'DB Link APP'!$A$3:$U$119,8,FALSE)</f>
        <v>Urban</v>
      </c>
      <c r="G81" s="392"/>
      <c r="H81" s="393"/>
      <c r="I81" s="394" t="str">
        <f>IF(VLOOKUP($C81,'DB Link APP'!$A$2:$T$323,11,FALSE)=0,"",VLOOKUP($C81,'DB Link APP'!$A$2:$T$323,11,FALSE))</f>
        <v/>
      </c>
      <c r="J81" s="520" t="str">
        <f>IF(VLOOKUP($C81,'DB Link APP'!$A$2:$N$149,13,FALSE)="General","",VLOOKUP($C81,'DB Link APP'!$A$2:$N$149,13,FALSE))</f>
        <v>Elderly Limitation</v>
      </c>
      <c r="K81" s="507">
        <f>VLOOKUP($C81,'DB Link APP'!$A$2:$T$323,16,FALSE)</f>
        <v>1500000</v>
      </c>
      <c r="L81" s="499">
        <v>0</v>
      </c>
      <c r="M81" s="385">
        <f>+SUM(L$72:L81)/K$70</f>
        <v>0.59516915411634452</v>
      </c>
      <c r="N81" s="485">
        <f t="shared" si="17"/>
        <v>0</v>
      </c>
      <c r="O81" s="118"/>
      <c r="P81" s="480"/>
      <c r="Q81" s="468">
        <f t="shared" si="18"/>
        <v>0</v>
      </c>
      <c r="R81" s="380" t="str">
        <f t="shared" si="19"/>
        <v/>
      </c>
      <c r="S81" s="267" t="str">
        <f>IF(VLOOKUP($C81,'REA-PPR'!$A$2:$E$149,3,FALSE)="","",VLOOKUP($C81,'REA-PPR'!$A$2:$E$149,3,FALSE))</f>
        <v/>
      </c>
      <c r="T81" s="15" t="str">
        <f>IF(VLOOKUP(C81,'UW Rec Amts'!A:H,2,FALSE),"C","")</f>
        <v>C</v>
      </c>
      <c r="U81" s="378" t="str">
        <f>IF(VLOOKUP($C81,'REA-PPR'!$A$2:$E$149,5,FALSE)="","No",VLOOKUP($C81,'REA-PPR'!$A$2:$E$149,5,FALSE))</f>
        <v>No</v>
      </c>
      <c r="V81" s="320"/>
      <c r="Z81" s="21"/>
    </row>
    <row r="82" spans="1:26" ht="12.75">
      <c r="A82" s="129"/>
      <c r="B82" s="129"/>
      <c r="C82" s="390">
        <v>18000</v>
      </c>
      <c r="D82" s="391" t="str">
        <f>VLOOKUP($C82,'DB Link APP'!$A$2:$T$323,2,FALSE)</f>
        <v>Evergreen at Garland Senior Community</v>
      </c>
      <c r="E82" s="391" t="str">
        <f>VLOOKUP($C82,'DB Link APP'!$A$2:$T$323,17,FALSE)</f>
        <v>Brad Forslund</v>
      </c>
      <c r="F82" s="391" t="str">
        <f>VLOOKUP(C82,'DB Link APP'!$A$3:$U$119,8,FALSE)</f>
        <v>Urban</v>
      </c>
      <c r="G82" s="392"/>
      <c r="H82" s="393"/>
      <c r="I82" s="394"/>
      <c r="J82" s="520" t="str">
        <f>IF(VLOOKUP($C82,'DB Link APP'!$A$2:$N$149,13,FALSE)="General","",VLOOKUP($C82,'DB Link APP'!$A$2:$N$149,13,FALSE))</f>
        <v>Elderly Limitation</v>
      </c>
      <c r="K82" s="507">
        <f>VLOOKUP($C82,'DB Link APP'!$A$2:$T$323,16,FALSE)</f>
        <v>1500000</v>
      </c>
      <c r="L82" s="499">
        <v>0</v>
      </c>
      <c r="M82" s="385">
        <f>+SUM(L$72:L82)/K$70</f>
        <v>0.59516915411634452</v>
      </c>
      <c r="N82" s="485">
        <f t="shared" si="17"/>
        <v>0</v>
      </c>
      <c r="O82" s="118"/>
      <c r="P82" s="480"/>
      <c r="Q82" s="468">
        <f t="shared" si="18"/>
        <v>0</v>
      </c>
      <c r="R82" s="380" t="str">
        <f t="shared" si="19"/>
        <v/>
      </c>
      <c r="S82" s="267" t="str">
        <f>IF(VLOOKUP($C82,'REA-PPR'!$A$2:$E$149,3,FALSE)="","",VLOOKUP($C82,'REA-PPR'!$A$2:$E$149,3,FALSE))</f>
        <v/>
      </c>
      <c r="T82" s="15" t="str">
        <f>IF(VLOOKUP(C82,'UW Rec Amts'!A:H,2,FALSE),"C","")</f>
        <v>C</v>
      </c>
      <c r="U82" s="378" t="str">
        <f>IF(VLOOKUP($C82,'REA-PPR'!$A$2:$E$149,5,FALSE)="","No",VLOOKUP($C82,'REA-PPR'!$A$2:$E$149,5,FALSE))</f>
        <v>No</v>
      </c>
      <c r="V82" s="156"/>
    </row>
    <row r="83" spans="1:26" ht="12.75">
      <c r="A83" s="24"/>
      <c r="B83" s="120"/>
      <c r="C83" s="390">
        <v>18269</v>
      </c>
      <c r="D83" s="386" t="str">
        <f>VLOOKUP($C83,'DB Link APP'!$A$2:$T$323,2,FALSE)</f>
        <v>2400 Bryan</v>
      </c>
      <c r="E83" s="386" t="str">
        <f>VLOOKUP($C83,'DB Link APP'!$A$2:$T$323,17,FALSE)</f>
        <v>D. Scott Galbraith</v>
      </c>
      <c r="F83" s="376" t="str">
        <f>VLOOKUP(C83,'DB Link APP'!$A$3:$U$119,8,FALSE)</f>
        <v>Urban</v>
      </c>
      <c r="G83" s="387"/>
      <c r="H83" s="380"/>
      <c r="I83" s="377" t="str">
        <f>IF(VLOOKUP($C83,'DB Link APP'!$A$2:$T$323,11,FALSE)=0,"",VLOOKUP($C83,'DB Link APP'!$A$2:$T$323,11,FALSE))</f>
        <v/>
      </c>
      <c r="J83" s="520" t="str">
        <f>IF(VLOOKUP($C83,'DB Link APP'!$A$2:$N$149,13,FALSE)="General","",VLOOKUP($C83,'DB Link APP'!$A$2:$N$149,13,FALSE))</f>
        <v/>
      </c>
      <c r="K83" s="506">
        <f>VLOOKUP($C83,'DB Link APP'!$A$2:$T$323,16,FALSE)</f>
        <v>1500000</v>
      </c>
      <c r="L83" s="485">
        <f>IF(ISNA(VLOOKUP(C83,'UW Rec Amts'!$A$2:$D$112,4,FALSE)),"",VLOOKUP(C83,'UW Rec Amts'!$A$2:$D$112,4,FALSE))</f>
        <v>1500000</v>
      </c>
      <c r="M83" s="385">
        <f>+SUM(L$72:L83)/K$70</f>
        <v>0.69022288133277376</v>
      </c>
      <c r="N83" s="485">
        <f t="shared" si="17"/>
        <v>1500000</v>
      </c>
      <c r="O83" s="118"/>
      <c r="P83" s="480"/>
      <c r="Q83" s="468">
        <f t="shared" si="18"/>
        <v>1500000</v>
      </c>
      <c r="R83" s="380" t="str">
        <f t="shared" si="19"/>
        <v>I</v>
      </c>
      <c r="S83" s="267" t="str">
        <f>IF(VLOOKUP($C83,'REA-PPR'!$A$2:$E$149,3,FALSE)="","",VLOOKUP($C83,'REA-PPR'!$A$2:$E$149,3,FALSE))</f>
        <v/>
      </c>
      <c r="T83" s="15" t="str">
        <f>IF(VLOOKUP(C83,'UW Rec Amts'!A:H,2,FALSE),"C","")</f>
        <v>C</v>
      </c>
      <c r="U83" s="378" t="str">
        <f>IF(VLOOKUP($C83,'REA-PPR'!$A$2:$E$149,5,FALSE)="","No",VLOOKUP($C83,'REA-PPR'!$A$2:$E$149,5,FALSE))</f>
        <v>No</v>
      </c>
      <c r="V83" s="156"/>
    </row>
    <row r="84" spans="1:26" ht="12.75">
      <c r="A84" s="129"/>
      <c r="B84" s="129"/>
      <c r="C84" s="390">
        <v>18388</v>
      </c>
      <c r="D84" s="391" t="str">
        <f>VLOOKUP($C84,'DB Link APP'!$A$2:$T$323,2,FALSE)</f>
        <v>The Park on 14th</v>
      </c>
      <c r="E84" s="391" t="str">
        <f>VLOOKUP($C84,'DB Link APP'!$A$2:$T$323,17,FALSE)</f>
        <v>Janine Sisak</v>
      </c>
      <c r="F84" s="391" t="str">
        <f>VLOOKUP(C84,'DB Link APP'!$A$3:$U$119,8,FALSE)</f>
        <v>Urban</v>
      </c>
      <c r="G84" s="392"/>
      <c r="H84" s="393"/>
      <c r="I84" s="394" t="str">
        <f>IF(VLOOKUP($C84,'DB Link APP'!$A$2:$T$323,11,FALSE)=0,"",VLOOKUP($C84,'DB Link APP'!$A$2:$T$323,11,FALSE))</f>
        <v/>
      </c>
      <c r="J84" s="520" t="str">
        <f>IF(VLOOKUP($C84,'DB Link APP'!$A$2:$N$149,13,FALSE)="General","",VLOOKUP($C84,'DB Link APP'!$A$2:$N$149,13,FALSE))</f>
        <v>Elderly Limitation</v>
      </c>
      <c r="K84" s="507">
        <f>VLOOKUP($C84,'DB Link APP'!$A$2:$T$323,16,FALSE)</f>
        <v>741387</v>
      </c>
      <c r="L84" s="499">
        <v>0</v>
      </c>
      <c r="M84" s="385">
        <f>+SUM(L$72:L84)/K$70</f>
        <v>0.69022288133277376</v>
      </c>
      <c r="N84" s="485">
        <f t="shared" si="17"/>
        <v>0</v>
      </c>
      <c r="O84" s="118"/>
      <c r="P84" s="480"/>
      <c r="Q84" s="468">
        <f t="shared" si="18"/>
        <v>0</v>
      </c>
      <c r="R84" s="380" t="str">
        <f t="shared" si="19"/>
        <v/>
      </c>
      <c r="S84" s="267" t="str">
        <f>IF(VLOOKUP($C84,'REA-PPR'!$A$2:$E$149,3,FALSE)="","",VLOOKUP($C84,'REA-PPR'!$A$2:$E$149,3,FALSE))</f>
        <v/>
      </c>
      <c r="T84" s="15" t="str">
        <f>IF(VLOOKUP(C84,'UW Rec Amts'!A:H,2,FALSE),"C","")</f>
        <v>C</v>
      </c>
      <c r="U84" s="378" t="str">
        <f>IF(VLOOKUP($C84,'REA-PPR'!$A$2:$E$149,5,FALSE)="","No",VLOOKUP($C84,'REA-PPR'!$A$2:$E$149,5,FALSE))</f>
        <v>No</v>
      </c>
      <c r="V84" s="156"/>
    </row>
    <row r="85" spans="1:26" ht="12.75">
      <c r="A85" s="24"/>
      <c r="B85" s="120"/>
      <c r="C85" s="390">
        <v>18221</v>
      </c>
      <c r="D85" s="386" t="str">
        <f>VLOOKUP($C85,'DB Link APP'!$A$2:$T$323,2,FALSE)</f>
        <v>Cypress Creek Apartment Homes at Hazelwood Street</v>
      </c>
      <c r="E85" s="386" t="str">
        <f>VLOOKUP($C85,'DB Link APP'!$A$2:$T$323,17,FALSE)</f>
        <v>Donald Sampley</v>
      </c>
      <c r="F85" s="376" t="str">
        <f>VLOOKUP(C85,'DB Link APP'!$A$3:$U$119,8,FALSE)</f>
        <v>Urban</v>
      </c>
      <c r="G85" s="387"/>
      <c r="H85" s="380"/>
      <c r="I85" s="377" t="str">
        <f>IF(VLOOKUP($C85,'DB Link APP'!$A$2:$T$323,11,FALSE)=0,"",VLOOKUP($C85,'DB Link APP'!$A$2:$T$323,11,FALSE))</f>
        <v/>
      </c>
      <c r="J85" s="520" t="str">
        <f>IF(VLOOKUP($C85,'DB Link APP'!$A$2:$N$149,13,FALSE)="General","",VLOOKUP($C85,'DB Link APP'!$A$2:$N$149,13,FALSE))</f>
        <v/>
      </c>
      <c r="K85" s="506">
        <f>VLOOKUP($C85,'DB Link APP'!$A$2:$T$323,16,FALSE)</f>
        <v>1500000</v>
      </c>
      <c r="L85" s="485">
        <f>IF(ISNA(VLOOKUP(C85,'UW Rec Amts'!$A$2:$D$112,4,FALSE)),"",VLOOKUP(C85,'UW Rec Amts'!$A$2:$D$112,4,FALSE))</f>
        <v>1500000</v>
      </c>
      <c r="M85" s="385">
        <f>+SUM(L$72:L85)/K$70</f>
        <v>0.78527660854920311</v>
      </c>
      <c r="N85" s="485">
        <f t="shared" si="17"/>
        <v>1500000</v>
      </c>
      <c r="O85" s="118"/>
      <c r="P85" s="480"/>
      <c r="Q85" s="468">
        <f t="shared" si="18"/>
        <v>1500000</v>
      </c>
      <c r="R85" s="380" t="str">
        <f t="shared" si="19"/>
        <v>I</v>
      </c>
      <c r="S85" s="267" t="str">
        <f>IF(VLOOKUP($C85,'REA-PPR'!$A$2:$E$149,3,FALSE)="","",VLOOKUP($C85,'REA-PPR'!$A$2:$E$149,3,FALSE))</f>
        <v/>
      </c>
      <c r="T85" s="15" t="str">
        <f>IF(VLOOKUP(C85,'UW Rec Amts'!A:H,2,FALSE),"C","")</f>
        <v>C</v>
      </c>
      <c r="U85" s="378" t="str">
        <f>IF(VLOOKUP($C85,'REA-PPR'!$A$2:$E$149,5,FALSE)="","No",VLOOKUP($C85,'REA-PPR'!$A$2:$E$149,5,FALSE))</f>
        <v>No</v>
      </c>
      <c r="V85" s="156"/>
    </row>
    <row r="86" spans="1:26" ht="12.75">
      <c r="A86" s="129"/>
      <c r="B86" s="129"/>
      <c r="C86" s="390">
        <v>18067</v>
      </c>
      <c r="D86" s="386" t="str">
        <f>VLOOKUP($C86,'DB Link APP'!$A$2:$T$323,2,FALSE)</f>
        <v>Palladium Crowley</v>
      </c>
      <c r="E86" s="386" t="str">
        <f>VLOOKUP($C86,'DB Link APP'!$A$2:$T$323,17,FALSE)</f>
        <v>Thomas E. Huth</v>
      </c>
      <c r="F86" s="376" t="str">
        <f>VLOOKUP(C86,'DB Link APP'!$A$3:$U$119,8,FALSE)</f>
        <v>Urban</v>
      </c>
      <c r="G86" s="387"/>
      <c r="H86" s="380"/>
      <c r="I86" s="377" t="str">
        <f>IF(VLOOKUP($C86,'DB Link APP'!$A$2:$T$323,11,FALSE)=0,"",VLOOKUP($C86,'DB Link APP'!$A$2:$T$323,11,FALSE))</f>
        <v/>
      </c>
      <c r="J86" s="520" t="str">
        <f>IF(VLOOKUP($C86,'DB Link APP'!$A$2:$N$149,13,FALSE)="General","",VLOOKUP($C86,'DB Link APP'!$A$2:$N$149,13,FALSE))</f>
        <v/>
      </c>
      <c r="K86" s="506">
        <f>VLOOKUP($C86,'DB Link APP'!$A$2:$T$323,16,FALSE)</f>
        <v>1500000</v>
      </c>
      <c r="L86" s="485">
        <f>IF(ISNA(VLOOKUP(C86,'UW Rec Amts'!$A$2:$D$112,4,FALSE)),"",VLOOKUP(C86,'UW Rec Amts'!$A$2:$D$112,4,FALSE))</f>
        <v>1500000</v>
      </c>
      <c r="M86" s="385">
        <f>+SUM(L$72:L86)/K$70</f>
        <v>0.88033033576563235</v>
      </c>
      <c r="N86" s="485">
        <f t="shared" si="17"/>
        <v>1500000</v>
      </c>
      <c r="O86" s="118"/>
      <c r="P86" s="480"/>
      <c r="Q86" s="468">
        <f t="shared" si="18"/>
        <v>1500000</v>
      </c>
      <c r="R86" s="380" t="str">
        <f t="shared" si="19"/>
        <v>I</v>
      </c>
      <c r="S86" s="267" t="str">
        <f>IF(VLOOKUP($C86,'REA-PPR'!$A$2:$E$149,3,FALSE)="","",VLOOKUP($C86,'REA-PPR'!$A$2:$E$149,3,FALSE))</f>
        <v/>
      </c>
      <c r="T86" s="15" t="str">
        <f>IF(VLOOKUP(C86,'UW Rec Amts'!A:H,2,FALSE),"C","")</f>
        <v>C</v>
      </c>
      <c r="U86" s="378" t="str">
        <f>IF(VLOOKUP($C86,'REA-PPR'!$A$2:$E$149,5,FALSE)="","No",VLOOKUP($C86,'REA-PPR'!$A$2:$E$149,5,FALSE))</f>
        <v>No</v>
      </c>
      <c r="V86" s="156"/>
    </row>
    <row r="87" spans="1:26" ht="12.75">
      <c r="A87" s="129"/>
      <c r="B87" s="129"/>
      <c r="C87" s="390">
        <v>18708</v>
      </c>
      <c r="D87" s="386" t="str">
        <f>VLOOKUP($C87,'DB Link APP'!$A$2:$T$323,2,FALSE)</f>
        <v>The Veranda Townhomes</v>
      </c>
      <c r="E87" s="386" t="str">
        <f>VLOOKUP($C87,'DB Link APP'!$A$2:$T$323,17,FALSE)</f>
        <v>Melissa Adami</v>
      </c>
      <c r="F87" s="376" t="str">
        <f>VLOOKUP(C87,'DB Link APP'!$A$3:$U$141,8,FALSE)</f>
        <v>Urban</v>
      </c>
      <c r="G87" s="387"/>
      <c r="H87" s="380"/>
      <c r="I87" s="377" t="str">
        <f>IF(VLOOKUP($C87,'DB Link APP'!$A$2:$T$323,11,FALSE)=0,"",VLOOKUP($C87,'DB Link APP'!$A$2:$T$323,11,FALSE))</f>
        <v/>
      </c>
      <c r="J87" s="520" t="str">
        <f>IF(VLOOKUP($C87,'DB Link APP'!$A$2:$N$149,13,FALSE)="General","",VLOOKUP($C87,'DB Link APP'!$A$2:$N$149,13,FALSE))</f>
        <v/>
      </c>
      <c r="K87" s="506">
        <f>VLOOKUP($C87,'DB Link APP'!$A$2:$T$323,16,FALSE)</f>
        <v>474312</v>
      </c>
      <c r="L87" s="485">
        <f>IF(ISNA(VLOOKUP(C87,'UW Rec Amts'!$A$2:$D$143,4,FALSE)),"",VLOOKUP(C87,'UW Rec Amts'!$A$2:$D$143,4,FALSE))</f>
        <v>474312</v>
      </c>
      <c r="M87" s="385">
        <f>+SUM(L$72:L87)/K$70</f>
        <v>0.91038708474128505</v>
      </c>
      <c r="N87" s="485">
        <f t="shared" ref="N87" si="20">+IF(M87&lt;=1,L87,0)</f>
        <v>474312</v>
      </c>
      <c r="O87" s="118"/>
      <c r="P87" s="480"/>
      <c r="Q87" s="468">
        <f t="shared" ref="Q87" si="21">+SUM(N87:P87)</f>
        <v>474312</v>
      </c>
      <c r="R87" s="380" t="str">
        <f t="shared" si="19"/>
        <v>I</v>
      </c>
      <c r="S87" s="267"/>
      <c r="U87" s="378"/>
      <c r="V87" s="156"/>
    </row>
    <row r="88" spans="1:26" ht="12.75">
      <c r="A88" s="129"/>
      <c r="B88" s="129"/>
      <c r="C88" s="390">
        <v>18068</v>
      </c>
      <c r="D88" s="386" t="str">
        <f>VLOOKUP($C88,'DB Link APP'!$A$2:$T$323,2,FALSE)</f>
        <v>Palladium Teasley Lane</v>
      </c>
      <c r="E88" s="386" t="str">
        <f>VLOOKUP($C88,'DB Link APP'!$A$2:$T$323,17,FALSE)</f>
        <v>Thomas E. Huth</v>
      </c>
      <c r="F88" s="376" t="str">
        <f>VLOOKUP(C88,'DB Link APP'!$A$3:$U$119,8,FALSE)</f>
        <v>Urban</v>
      </c>
      <c r="G88" s="387"/>
      <c r="H88" s="380"/>
      <c r="I88" s="377" t="str">
        <f>IF(VLOOKUP($C88,'DB Link APP'!$A$2:$T$323,11,FALSE)=0,"",VLOOKUP($C88,'DB Link APP'!$A$2:$T$323,11,FALSE))</f>
        <v/>
      </c>
      <c r="J88" s="520" t="str">
        <f>IF(VLOOKUP($C88,'DB Link APP'!$A$2:$N$149,13,FALSE)="General","",VLOOKUP($C88,'DB Link APP'!$A$2:$N$149,13,FALSE))</f>
        <v/>
      </c>
      <c r="K88" s="506">
        <f>VLOOKUP($C88,'DB Link APP'!$A$2:$T$323,16,FALSE)</f>
        <v>1500000</v>
      </c>
      <c r="L88" s="485">
        <f>IF(ISNA(VLOOKUP(C88,'UW Rec Amts'!$A$2:$D$112,4,FALSE)),"",VLOOKUP(C88,'UW Rec Amts'!$A$2:$D$112,4,FALSE))</f>
        <v>1500000</v>
      </c>
      <c r="M88" s="385">
        <f>+SUM(L$72:L88)/K$70</f>
        <v>1.0054408119577143</v>
      </c>
      <c r="N88" s="485">
        <f t="shared" si="17"/>
        <v>0</v>
      </c>
      <c r="O88" s="118"/>
      <c r="P88" s="480"/>
      <c r="Q88" s="468">
        <f t="shared" si="18"/>
        <v>0</v>
      </c>
      <c r="R88" s="380" t="str">
        <f t="shared" si="19"/>
        <v/>
      </c>
      <c r="S88" s="267" t="str">
        <f>IF(VLOOKUP($C88,'REA-PPR'!$A$2:$E$149,3,FALSE)="","",VLOOKUP($C88,'REA-PPR'!$A$2:$E$149,3,FALSE))</f>
        <v/>
      </c>
      <c r="T88" s="15" t="str">
        <f>IF(VLOOKUP(C88,'UW Rec Amts'!A:H,2,FALSE),"C","")</f>
        <v>C</v>
      </c>
      <c r="U88" s="378" t="str">
        <f>IF(VLOOKUP($C88,'REA-PPR'!$A$2:$E$149,5,FALSE)="","No",VLOOKUP($C88,'REA-PPR'!$A$2:$E$149,5,FALSE))</f>
        <v>No</v>
      </c>
      <c r="V88" s="156"/>
    </row>
    <row r="89" spans="1:26" ht="12.75">
      <c r="A89" s="129"/>
      <c r="B89" s="129"/>
      <c r="C89" s="390">
        <v>18064</v>
      </c>
      <c r="D89" s="386" t="str">
        <f>VLOOKUP($C89,'DB Link APP'!$A$2:$T$323,2,FALSE)</f>
        <v>Palladium Fain Street</v>
      </c>
      <c r="E89" s="386" t="str">
        <f>VLOOKUP($C89,'DB Link APP'!$A$2:$T$323,17,FALSE)</f>
        <v>Thomas E. Huth</v>
      </c>
      <c r="F89" s="376" t="str">
        <f>VLOOKUP(C89,'DB Link APP'!$A$3:$U$119,8,FALSE)</f>
        <v>Urban</v>
      </c>
      <c r="G89" s="387"/>
      <c r="H89" s="380"/>
      <c r="I89" s="377" t="str">
        <f>IF(VLOOKUP($C89,'DB Link APP'!$A$2:$T$323,11,FALSE)=0,"",VLOOKUP($C89,'DB Link APP'!$A$2:$T$323,11,FALSE))</f>
        <v/>
      </c>
      <c r="J89" s="520" t="str">
        <f>IF(VLOOKUP($C89,'DB Link APP'!$A$2:$N$149,13,FALSE)="General","",VLOOKUP($C89,'DB Link APP'!$A$2:$N$149,13,FALSE))</f>
        <v/>
      </c>
      <c r="K89" s="506">
        <f>VLOOKUP($C89,'DB Link APP'!$A$2:$T$323,16,FALSE)</f>
        <v>1500000</v>
      </c>
      <c r="L89" s="485">
        <f>IF(ISNA(VLOOKUP(C89,'UW Rec Amts'!$A$2:$D$112,4,FALSE)),"",VLOOKUP(C89,'UW Rec Amts'!$A$2:$D$112,4,FALSE))</f>
        <v>1500000</v>
      </c>
      <c r="M89" s="385">
        <f>+SUM(L$72:L89)/K$70</f>
        <v>1.1004945391741436</v>
      </c>
      <c r="N89" s="485">
        <f t="shared" si="17"/>
        <v>0</v>
      </c>
      <c r="O89" s="118"/>
      <c r="P89" s="480"/>
      <c r="Q89" s="468">
        <f t="shared" si="18"/>
        <v>0</v>
      </c>
      <c r="R89" s="380" t="str">
        <f t="shared" si="19"/>
        <v/>
      </c>
      <c r="S89" s="267" t="str">
        <f>IF(VLOOKUP($C89,'REA-PPR'!$A$2:$E$149,3,FALSE)="","",VLOOKUP($C89,'REA-PPR'!$A$2:$E$149,3,FALSE))</f>
        <v/>
      </c>
      <c r="T89" s="15" t="str">
        <f>IF(VLOOKUP(C89,'UW Rec Amts'!A:H,2,FALSE),"C","")</f>
        <v>C</v>
      </c>
      <c r="U89" s="378" t="str">
        <f>IF(VLOOKUP($C89,'REA-PPR'!$A$2:$E$149,5,FALSE)="","No",VLOOKUP($C89,'REA-PPR'!$A$2:$E$149,5,FALSE))</f>
        <v>No</v>
      </c>
      <c r="V89" s="156"/>
    </row>
    <row r="90" spans="1:26" ht="12.75" hidden="1" customHeight="1">
      <c r="A90" s="24"/>
      <c r="B90" s="120"/>
      <c r="C90" s="417">
        <v>18002</v>
      </c>
      <c r="D90" s="391" t="str">
        <f>VLOOKUP($C90,'DB Link APP'!$A$2:$T$323,2,FALSE)</f>
        <v>Evergreen at Basswood Senior Community</v>
      </c>
      <c r="E90" s="391" t="str">
        <f>VLOOKUP($C90,'DB Link APP'!$A$2:$T$323,17,FALSE)</f>
        <v>Brad Forslund</v>
      </c>
      <c r="F90" s="391" t="str">
        <f>VLOOKUP(C90,'DB Link APP'!$A$3:$U$119,8,FALSE)</f>
        <v>Urban</v>
      </c>
      <c r="G90" s="392"/>
      <c r="H90" s="393"/>
      <c r="I90" s="394" t="s">
        <v>162</v>
      </c>
      <c r="J90" s="526" t="str">
        <f>IF(VLOOKUP($C90,'REA-PPR'!$A$2:$E$149,5,FALSE)="","No",VLOOKUP($C90,'REA-PPR'!$A$2:$E$149,5,FALSE))</f>
        <v>No</v>
      </c>
      <c r="K90" s="507">
        <f>VLOOKUP($C90,'DB Link APP'!$A$2:$T$323,16,FALSE)</f>
        <v>1500000</v>
      </c>
      <c r="L90" s="499">
        <v>0</v>
      </c>
      <c r="M90" s="385">
        <f>+SUM(L$72:L90)/K$70</f>
        <v>1.1004945391741436</v>
      </c>
      <c r="N90" s="485">
        <f t="shared" si="14"/>
        <v>0</v>
      </c>
      <c r="O90" s="118"/>
      <c r="P90" s="379"/>
      <c r="Q90" s="468">
        <f t="shared" si="15"/>
        <v>0</v>
      </c>
      <c r="R90" s="380" t="str">
        <f t="shared" si="16"/>
        <v/>
      </c>
      <c r="S90" s="267" t="str">
        <f>IF(VLOOKUP($C90,'REA-PPR'!$A$2:$E$149,3,FALSE)="","",VLOOKUP($C90,'REA-PPR'!$A$2:$E$149,3,FALSE))</f>
        <v/>
      </c>
      <c r="T90" s="15" t="str">
        <f>IF(VLOOKUP(C90,'UW Rec Amts'!A:H,2,FALSE),"C","")</f>
        <v>C</v>
      </c>
      <c r="U90" s="378" t="str">
        <f>IF(VLOOKUP($C90,'REA-PPR'!$A$2:$E$149,5,FALSE)="","No",VLOOKUP($C90,'REA-PPR'!$A$2:$E$149,5,FALSE))</f>
        <v>No</v>
      </c>
      <c r="V90"/>
    </row>
    <row r="91" spans="1:26" ht="12.75" hidden="1">
      <c r="A91" s="24"/>
      <c r="B91" s="120"/>
      <c r="C91" s="417">
        <v>18204</v>
      </c>
      <c r="D91" s="391" t="str">
        <f>VLOOKUP($C91,'DB Link APP'!$A$2:$T$323,2,FALSE)</f>
        <v>Cielo at Mountain Creek</v>
      </c>
      <c r="E91" s="391" t="str">
        <f>VLOOKUP($C91,'DB Link APP'!$A$2:$T$323,17,FALSE)</f>
        <v>Sara Reidy</v>
      </c>
      <c r="F91" s="391" t="str">
        <f>VLOOKUP(C91,'DB Link APP'!$A$3:$U$119,8,FALSE)</f>
        <v>Urban</v>
      </c>
      <c r="G91" s="392"/>
      <c r="H91" s="393"/>
      <c r="I91" s="394" t="str">
        <f>IF(VLOOKUP($C91,'DB Link APP'!$A$2:$T$323,11,FALSE)=0,"",VLOOKUP($C91,'DB Link APP'!$A$2:$T$323,11,FALSE))</f>
        <v/>
      </c>
      <c r="J91" s="526" t="str">
        <f>IF(VLOOKUP($C91,'REA-PPR'!$A$2:$E$149,5,FALSE)="","No",VLOOKUP($C91,'REA-PPR'!$A$2:$E$149,5,FALSE))</f>
        <v>No</v>
      </c>
      <c r="K91" s="507">
        <f>VLOOKUP($C91,'DB Link APP'!$A$2:$T$323,16,FALSE)</f>
        <v>1500000</v>
      </c>
      <c r="L91" s="499">
        <v>0</v>
      </c>
      <c r="M91" s="385">
        <f>+SUM(L$72:L91)/K$70</f>
        <v>1.1004945391741436</v>
      </c>
      <c r="N91" s="485">
        <f t="shared" si="14"/>
        <v>0</v>
      </c>
      <c r="O91" s="118"/>
      <c r="P91" s="379"/>
      <c r="Q91" s="468">
        <f t="shared" si="15"/>
        <v>0</v>
      </c>
      <c r="R91" s="380" t="str">
        <f t="shared" si="16"/>
        <v/>
      </c>
      <c r="S91" s="267" t="str">
        <f>IF(VLOOKUP($C91,'REA-PPR'!$A$2:$E$149,3,FALSE)="","",VLOOKUP($C91,'REA-PPR'!$A$2:$E$149,3,FALSE))</f>
        <v/>
      </c>
      <c r="T91" s="15" t="str">
        <f>IF(VLOOKUP(C91,'UW Rec Amts'!A:H,2,FALSE),"C","")</f>
        <v>C</v>
      </c>
      <c r="U91" s="378" t="str">
        <f>IF(VLOOKUP($C91,'REA-PPR'!$A$2:$E$149,5,FALSE)="","No",VLOOKUP($C91,'REA-PPR'!$A$2:$E$149,5,FALSE))</f>
        <v>No</v>
      </c>
      <c r="V91" s="280"/>
      <c r="X91" s="15" t="s">
        <v>135</v>
      </c>
    </row>
    <row r="92" spans="1:26" ht="12.75" hidden="1">
      <c r="A92" s="129"/>
      <c r="B92" s="129"/>
      <c r="C92" s="417">
        <v>18267</v>
      </c>
      <c r="D92" s="386" t="str">
        <f>VLOOKUP($C92,'DB Link APP'!$A$2:$T$323,2,FALSE)</f>
        <v>Avenue at Sycamore Park</v>
      </c>
      <c r="E92" s="386" t="str">
        <f>VLOOKUP($C92,'DB Link APP'!$A$2:$T$323,17,FALSE)</f>
        <v>Dan Allgeier</v>
      </c>
      <c r="F92" s="376" t="str">
        <f>VLOOKUP(C92,'DB Link APP'!$A$3:$U$119,8,FALSE)</f>
        <v>Urban</v>
      </c>
      <c r="G92" s="387"/>
      <c r="H92" s="380"/>
      <c r="I92" s="377" t="str">
        <f>IF(VLOOKUP($C92,'DB Link APP'!$A$2:$T$323,11,FALSE)=0,"",VLOOKUP($C92,'DB Link APP'!$A$2:$T$323,11,FALSE))</f>
        <v/>
      </c>
      <c r="J92" s="520" t="str">
        <f>IF(VLOOKUP($C92,'REA-PPR'!$A$2:$E$149,5,FALSE)="","No",VLOOKUP($C92,'REA-PPR'!$A$2:$E$149,5,FALSE))</f>
        <v>No</v>
      </c>
      <c r="K92" s="506">
        <f>VLOOKUP($C92,'DB Link APP'!$A$2:$T$323,16,FALSE)</f>
        <v>0</v>
      </c>
      <c r="L92" s="485">
        <f>IF(ISNA(VLOOKUP(C92,'UW Rec Amts'!$A$2:$D$112,4,FALSE)),"",VLOOKUP(C92,'UW Rec Amts'!$A$2:$D$112,4,FALSE))</f>
        <v>0</v>
      </c>
      <c r="M92" s="385">
        <f>+SUM(L$72:L92)/K$70</f>
        <v>1.1004945391741436</v>
      </c>
      <c r="N92" s="485">
        <f t="shared" si="14"/>
        <v>0</v>
      </c>
      <c r="O92" s="118"/>
      <c r="P92" s="379"/>
      <c r="Q92" s="468">
        <f t="shared" si="15"/>
        <v>0</v>
      </c>
      <c r="R92" s="380" t="str">
        <f t="shared" si="16"/>
        <v/>
      </c>
      <c r="S92" s="267" t="str">
        <f>IF(VLOOKUP($C92,'REA-PPR'!$A$2:$E$149,3,FALSE)="","",VLOOKUP($C92,'REA-PPR'!$A$2:$E$149,3,FALSE))</f>
        <v/>
      </c>
      <c r="T92" s="15" t="str">
        <f>IF(VLOOKUP(C92,'UW Rec Amts'!A:H,2,FALSE),"C","")</f>
        <v/>
      </c>
      <c r="U92" s="378" t="str">
        <f>IF(VLOOKUP($C92,'REA-PPR'!$A$2:$E$149,5,FALSE)="","No",VLOOKUP($C92,'REA-PPR'!$A$2:$E$149,5,FALSE))</f>
        <v>No</v>
      </c>
      <c r="V92" s="156"/>
    </row>
    <row r="93" spans="1:26" ht="12.75" hidden="1">
      <c r="A93" s="24"/>
      <c r="B93" s="120"/>
      <c r="C93" s="408">
        <v>18363</v>
      </c>
      <c r="D93" s="386" t="str">
        <f>VLOOKUP($C93,'DB Link APP'!$A$2:$T$323,2,FALSE)</f>
        <v>Oliver Commons</v>
      </c>
      <c r="E93" s="386" t="str">
        <f>VLOOKUP($C93,'DB Link APP'!$A$2:$T$323,17,FALSE)</f>
        <v>Lisa Stephens</v>
      </c>
      <c r="F93" s="376" t="str">
        <f>VLOOKUP(C93,'DB Link APP'!$A$3:$U$119,8,FALSE)</f>
        <v>Urban</v>
      </c>
      <c r="G93" s="387"/>
      <c r="H93" s="380"/>
      <c r="I93" s="377" t="str">
        <f>IF(VLOOKUP($C93,'DB Link APP'!$A$2:$T$323,11,FALSE)=0,"",VLOOKUP($C93,'DB Link APP'!$A$2:$T$323,11,FALSE))</f>
        <v/>
      </c>
      <c r="J93" s="520" t="str">
        <f>IF(VLOOKUP($C93,'REA-PPR'!$A$2:$E$149,5,FALSE)="","No",VLOOKUP($C93,'REA-PPR'!$A$2:$E$149,5,FALSE))</f>
        <v>No</v>
      </c>
      <c r="K93" s="506">
        <f>VLOOKUP($C93,'DB Link APP'!$A$2:$T$323,16,FALSE)</f>
        <v>0</v>
      </c>
      <c r="L93" s="485">
        <f>IF(ISNA(VLOOKUP(C93,'UW Rec Amts'!$A$2:$D$112,4,FALSE)),"",VLOOKUP(C93,'UW Rec Amts'!$A$2:$D$112,4,FALSE))</f>
        <v>0</v>
      </c>
      <c r="M93" s="385">
        <f>+SUM(L$72:L93)/K$70</f>
        <v>1.1004945391741436</v>
      </c>
      <c r="N93" s="485">
        <f t="shared" si="14"/>
        <v>0</v>
      </c>
      <c r="O93" s="118"/>
      <c r="P93" s="379"/>
      <c r="Q93" s="468">
        <f t="shared" si="15"/>
        <v>0</v>
      </c>
      <c r="R93" s="380" t="str">
        <f t="shared" si="16"/>
        <v/>
      </c>
      <c r="S93" s="267" t="str">
        <f>IF(VLOOKUP($C93,'REA-PPR'!$A$2:$E$149,3,FALSE)="","",VLOOKUP($C93,'REA-PPR'!$A$2:$E$149,3,FALSE))</f>
        <v/>
      </c>
      <c r="T93" s="15" t="str">
        <f>IF(VLOOKUP(C93,'UW Rec Amts'!A:H,2,FALSE),"C","")</f>
        <v/>
      </c>
      <c r="U93" s="378" t="str">
        <f>IF(VLOOKUP($C93,'REA-PPR'!$A$2:$E$149,5,FALSE)="","No",VLOOKUP($C93,'REA-PPR'!$A$2:$E$149,5,FALSE))</f>
        <v>No</v>
      </c>
      <c r="V93" s="156"/>
    </row>
    <row r="94" spans="1:26" ht="12.75" hidden="1">
      <c r="A94" s="24"/>
      <c r="B94" s="120"/>
      <c r="C94" s="408">
        <v>18263</v>
      </c>
      <c r="D94" s="386" t="str">
        <f>VLOOKUP($C94,'DB Link APP'!$A$2:$T$323,2,FALSE)</f>
        <v>Circle F Ranch Lofts</v>
      </c>
      <c r="E94" s="386" t="str">
        <f>VLOOKUP($C94,'DB Link APP'!$A$2:$T$323,17,FALSE)</f>
        <v>Brandon Bolin</v>
      </c>
      <c r="F94" s="376" t="str">
        <f>VLOOKUP(C94,'DB Link APP'!$A$3:$U$119,8,FALSE)</f>
        <v>Urban</v>
      </c>
      <c r="G94" s="387"/>
      <c r="H94" s="380"/>
      <c r="I94" s="377" t="str">
        <f>IF(VLOOKUP($C94,'DB Link APP'!$A$2:$T$323,11,FALSE)=0,"",VLOOKUP($C94,'DB Link APP'!$A$2:$T$323,11,FALSE))</f>
        <v/>
      </c>
      <c r="J94" s="520" t="str">
        <f>IF(VLOOKUP($C94,'REA-PPR'!$A$2:$E$149,5,FALSE)="","No",VLOOKUP($C94,'REA-PPR'!$A$2:$E$149,5,FALSE))</f>
        <v>No</v>
      </c>
      <c r="K94" s="506">
        <f>VLOOKUP($C94,'DB Link APP'!$A$2:$T$323,16,FALSE)</f>
        <v>0</v>
      </c>
      <c r="L94" s="485">
        <f>IF(ISNA(VLOOKUP(C94,'UW Rec Amts'!$A$2:$D$112,4,FALSE)),"",VLOOKUP(C94,'UW Rec Amts'!$A$2:$D$112,4,FALSE))</f>
        <v>0</v>
      </c>
      <c r="M94" s="385">
        <f>+SUM(L$72:L94)/K$70</f>
        <v>1.1004945391741436</v>
      </c>
      <c r="N94" s="485">
        <f t="shared" si="14"/>
        <v>0</v>
      </c>
      <c r="O94" s="118"/>
      <c r="P94" s="379"/>
      <c r="Q94" s="468">
        <f t="shared" si="15"/>
        <v>0</v>
      </c>
      <c r="R94" s="380" t="str">
        <f t="shared" si="16"/>
        <v/>
      </c>
      <c r="S94" s="267" t="str">
        <f>IF(VLOOKUP($C94,'REA-PPR'!$A$2:$E$149,3,FALSE)="","",VLOOKUP($C94,'REA-PPR'!$A$2:$E$149,3,FALSE))</f>
        <v/>
      </c>
      <c r="T94" s="15" t="str">
        <f>IF(VLOOKUP(C94,'UW Rec Amts'!A:H,2,FALSE),"C","")</f>
        <v/>
      </c>
      <c r="U94" s="378" t="str">
        <f>IF(VLOOKUP($C94,'REA-PPR'!$A$2:$E$149,5,FALSE)="","No",VLOOKUP($C94,'REA-PPR'!$A$2:$E$149,5,FALSE))</f>
        <v>No</v>
      </c>
      <c r="V94" s="280"/>
      <c r="Z94" s="21"/>
    </row>
    <row r="95" spans="1:26" ht="12.75" hidden="1">
      <c r="A95" s="129"/>
      <c r="B95" s="129"/>
      <c r="C95" s="408">
        <v>18264</v>
      </c>
      <c r="D95" s="376" t="str">
        <f>VLOOKUP($C95,'DB Link APP'!$A$2:$T$323,2,FALSE)</f>
        <v>Circle F Ranch Seniors</v>
      </c>
      <c r="E95" s="376" t="str">
        <f>VLOOKUP($C95,'DB Link APP'!$A$2:$T$323,17,FALSE)</f>
        <v>Brandon Bolin</v>
      </c>
      <c r="F95" s="376" t="str">
        <f>VLOOKUP(C95,'DB Link APP'!$A$3:$U$119,8,FALSE)</f>
        <v>Urban</v>
      </c>
      <c r="G95" s="383"/>
      <c r="H95" s="384"/>
      <c r="I95" s="377" t="str">
        <f>IF(VLOOKUP($C95,'DB Link APP'!$A$2:$T$323,11,FALSE)=0,"",VLOOKUP($C95,'DB Link APP'!$A$2:$T$323,11,FALSE))</f>
        <v/>
      </c>
      <c r="J95" s="520" t="str">
        <f>IF(VLOOKUP($C95,'REA-PPR'!$A$2:$E$149,5,FALSE)="","No",VLOOKUP($C95,'REA-PPR'!$A$2:$E$149,5,FALSE))</f>
        <v>No</v>
      </c>
      <c r="K95" s="506">
        <f>VLOOKUP($C95,'DB Link APP'!$A$2:$T$323,16,FALSE)</f>
        <v>0</v>
      </c>
      <c r="L95" s="485">
        <f>IF(ISNA(VLOOKUP(C95,'UW Rec Amts'!$A$2:$D$112,4,FALSE)),"",VLOOKUP(C95,'UW Rec Amts'!$A$2:$D$112,4,FALSE))</f>
        <v>0</v>
      </c>
      <c r="M95" s="385">
        <f>+SUM(L$72:L95)/K$70</f>
        <v>1.1004945391741436</v>
      </c>
      <c r="N95" s="485">
        <f t="shared" si="14"/>
        <v>0</v>
      </c>
      <c r="O95" s="118"/>
      <c r="P95" s="379"/>
      <c r="Q95" s="468">
        <f t="shared" si="15"/>
        <v>0</v>
      </c>
      <c r="R95" s="380" t="str">
        <f t="shared" si="16"/>
        <v/>
      </c>
      <c r="S95" s="267" t="str">
        <f>IF(VLOOKUP($C95,'REA-PPR'!$A$2:$E$149,3,FALSE)="","",VLOOKUP($C95,'REA-PPR'!$A$2:$E$149,3,FALSE))</f>
        <v/>
      </c>
      <c r="T95" s="15" t="str">
        <f>IF(VLOOKUP(C95,'UW Rec Amts'!A:H,2,FALSE),"C","")</f>
        <v/>
      </c>
      <c r="U95" s="378" t="str">
        <f>IF(VLOOKUP($C95,'REA-PPR'!$A$2:$E$149,5,FALSE)="","No",VLOOKUP($C95,'REA-PPR'!$A$2:$E$149,5,FALSE))</f>
        <v>No</v>
      </c>
      <c r="V95" s="320"/>
      <c r="Z95" s="21"/>
    </row>
    <row r="96" spans="1:26" ht="12.75" hidden="1">
      <c r="A96" s="129"/>
      <c r="B96" s="129"/>
      <c r="C96" s="408">
        <v>18309</v>
      </c>
      <c r="D96" s="386" t="str">
        <f>VLOOKUP($C96,'DB Link APP'!$A$2:$T$323,2,FALSE)</f>
        <v>The McFarland</v>
      </c>
      <c r="E96" s="386" t="str">
        <f>VLOOKUP($C96,'DB Link APP'!$A$2:$T$323,17,FALSE)</f>
        <v>Lisa Stephens</v>
      </c>
      <c r="F96" s="376" t="str">
        <f>VLOOKUP(C96,'DB Link APP'!$A$3:$U$119,8,FALSE)</f>
        <v>Urban</v>
      </c>
      <c r="G96" s="387"/>
      <c r="H96" s="380"/>
      <c r="I96" s="377" t="str">
        <f>IF(VLOOKUP($C96,'DB Link APP'!$A$2:$T$323,11,FALSE)=0,"",VLOOKUP($C96,'DB Link APP'!$A$2:$T$323,11,FALSE))</f>
        <v/>
      </c>
      <c r="J96" s="520" t="str">
        <f>IF(VLOOKUP($C96,'REA-PPR'!$A$2:$E$149,5,FALSE)="","No",VLOOKUP($C96,'REA-PPR'!$A$2:$E$149,5,FALSE))</f>
        <v>No</v>
      </c>
      <c r="K96" s="506">
        <f>VLOOKUP($C96,'DB Link APP'!$A$2:$T$323,16,FALSE)</f>
        <v>0</v>
      </c>
      <c r="L96" s="485">
        <f>IF(ISNA(VLOOKUP(C96,'UW Rec Amts'!$A$2:$D$112,4,FALSE)),"",VLOOKUP(C96,'UW Rec Amts'!$A$2:$D$112,4,FALSE))</f>
        <v>0</v>
      </c>
      <c r="M96" s="385">
        <f>+SUM(L$72:L96)/K$70</f>
        <v>1.1004945391741436</v>
      </c>
      <c r="N96" s="485">
        <f t="shared" si="14"/>
        <v>0</v>
      </c>
      <c r="O96" s="118"/>
      <c r="P96" s="379"/>
      <c r="Q96" s="468">
        <f t="shared" si="15"/>
        <v>0</v>
      </c>
      <c r="R96" s="380" t="str">
        <f t="shared" si="16"/>
        <v/>
      </c>
      <c r="S96" s="267" t="str">
        <f>IF(VLOOKUP($C96,'REA-PPR'!$A$2:$E$149,3,FALSE)="","",VLOOKUP($C96,'REA-PPR'!$A$2:$E$149,3,FALSE))</f>
        <v/>
      </c>
      <c r="T96" s="15" t="str">
        <f>IF(VLOOKUP(C96,'UW Rec Amts'!A:H,2,FALSE),"C","")</f>
        <v/>
      </c>
      <c r="U96" s="378" t="str">
        <f>IF(VLOOKUP($C96,'REA-PPR'!$A$2:$E$149,5,FALSE)="","No",VLOOKUP($C96,'REA-PPR'!$A$2:$E$149,5,FALSE))</f>
        <v>No</v>
      </c>
      <c r="V96" s="156"/>
      <c r="Y96" s="15"/>
    </row>
    <row r="97" spans="1:25" ht="12.75" hidden="1">
      <c r="A97" s="24"/>
      <c r="B97" s="120"/>
      <c r="C97" s="390">
        <v>18368</v>
      </c>
      <c r="D97" s="386" t="str">
        <f>VLOOKUP($C97,'DB Link APP'!$A$2:$T$323,2,FALSE)</f>
        <v>The Reserves at Merriwood Ranch</v>
      </c>
      <c r="E97" s="386" t="str">
        <f>VLOOKUP($C97,'DB Link APP'!$A$2:$T$323,17,FALSE)</f>
        <v>Sally Roth</v>
      </c>
      <c r="F97" s="376" t="str">
        <f>VLOOKUP(C97,'DB Link APP'!$A$3:$U$119,8,FALSE)</f>
        <v>Urban</v>
      </c>
      <c r="G97" s="387"/>
      <c r="H97" s="380"/>
      <c r="I97" s="377" t="str">
        <f>IF(VLOOKUP($C97,'DB Link APP'!$A$2:$T$323,11,FALSE)=0,"",VLOOKUP($C97,'DB Link APP'!$A$2:$T$323,11,FALSE))</f>
        <v/>
      </c>
      <c r="J97" s="520" t="str">
        <f>IF(VLOOKUP($C97,'REA-PPR'!$A$2:$E$149,5,FALSE)="","No",VLOOKUP($C97,'REA-PPR'!$A$2:$E$149,5,FALSE))</f>
        <v>No</v>
      </c>
      <c r="K97" s="506">
        <f>VLOOKUP($C97,'DB Link APP'!$A$2:$T$323,16,FALSE)</f>
        <v>1500000</v>
      </c>
      <c r="L97" s="485">
        <f>IF(ISNA(VLOOKUP(C97,'UW Rec Amts'!$A$2:$D$112,4,FALSE)),"",VLOOKUP(C97,'UW Rec Amts'!$A$2:$D$112,4,FALSE))</f>
        <v>1500000</v>
      </c>
      <c r="M97" s="385">
        <f>+SUM(L$72:L97)/K$70</f>
        <v>1.195548266390573</v>
      </c>
      <c r="N97" s="485">
        <f>+IF(M97&lt;=1,L97,0)</f>
        <v>0</v>
      </c>
      <c r="O97" s="118"/>
      <c r="P97" s="379"/>
      <c r="Q97" s="468">
        <f>+SUM(N97:P97)</f>
        <v>0</v>
      </c>
      <c r="R97" s="380" t="str">
        <f>+IF(N97&gt;0,"I",IF(O97&gt;0,"R",IF(P97&gt;0,"SW","")))</f>
        <v/>
      </c>
      <c r="S97" s="267" t="str">
        <f>IF(VLOOKUP($C97,'REA-PPR'!$A$2:$E$149,3,FALSE)="","",VLOOKUP($C97,'REA-PPR'!$A$2:$E$149,3,FALSE))</f>
        <v/>
      </c>
      <c r="T97" s="15" t="str">
        <f>IF(VLOOKUP(C97,'UW Rec Amts'!A:H,2,FALSE),"C","")</f>
        <v>C</v>
      </c>
      <c r="U97" s="378" t="str">
        <f>IF(VLOOKUP($C97,'REA-PPR'!$A$2:$E$149,5,FALSE)="","No",VLOOKUP($C97,'REA-PPR'!$A$2:$E$149,5,FALSE))</f>
        <v>No</v>
      </c>
      <c r="V97" s="89"/>
    </row>
    <row r="98" spans="1:25" ht="12" customHeight="1">
      <c r="A98" s="27"/>
      <c r="B98" s="27"/>
      <c r="C98" s="364"/>
      <c r="D98" s="365"/>
      <c r="E98" s="365"/>
      <c r="F98" s="366"/>
      <c r="G98" s="367"/>
      <c r="H98" s="367"/>
      <c r="I98" s="365"/>
      <c r="J98" s="523"/>
      <c r="K98" s="481"/>
      <c r="L98" s="481"/>
      <c r="M98" s="372"/>
      <c r="N98" s="481"/>
      <c r="O98" s="29"/>
      <c r="P98" s="367"/>
      <c r="Q98" s="470"/>
      <c r="R98" s="368"/>
      <c r="U98" s="378"/>
      <c r="Y98" s="15"/>
    </row>
    <row r="99" spans="1:25">
      <c r="J99" s="272" t="s">
        <v>18</v>
      </c>
      <c r="K99" s="465">
        <f>+SUM(K71:K98)</f>
        <v>28615549</v>
      </c>
      <c r="L99" s="498" t="s">
        <v>19</v>
      </c>
      <c r="M99" s="243"/>
      <c r="N99" s="465">
        <f>+SUM(N71:N98)</f>
        <v>14366408</v>
      </c>
      <c r="P99" s="465">
        <f>+SUM(P71:P98)</f>
        <v>0</v>
      </c>
      <c r="Q99" s="465">
        <f>+SUM(Q71:Q98)</f>
        <v>14366408</v>
      </c>
      <c r="U99" s="378"/>
      <c r="V99" s="89"/>
      <c r="W99" s="21"/>
      <c r="Y99" s="15"/>
    </row>
    <row r="100" spans="1:25">
      <c r="J100" s="527"/>
      <c r="L100" s="498" t="s">
        <v>20</v>
      </c>
      <c r="M100" s="243"/>
      <c r="N100" s="25">
        <f>1-SUM($N99:N99)/$K70</f>
        <v>8.9612915258714954E-2</v>
      </c>
      <c r="O100" s="25"/>
      <c r="P100" s="25">
        <f>1-SUM($N99:P99)/$K70</f>
        <v>8.9612915258714954E-2</v>
      </c>
      <c r="Q100" s="25">
        <f>1-SUM($Q99:Q99)/$K70</f>
        <v>8.9612915258714954E-2</v>
      </c>
      <c r="U100" s="378"/>
      <c r="Y100" s="15"/>
    </row>
    <row r="101" spans="1:25" ht="8.25" customHeight="1">
      <c r="J101" s="524"/>
      <c r="M101" s="243"/>
      <c r="U101" s="378"/>
      <c r="Y101" s="15"/>
    </row>
    <row r="102" spans="1:25" ht="15.75">
      <c r="C102" s="354" t="s">
        <v>45</v>
      </c>
      <c r="D102" s="31" t="s">
        <v>6</v>
      </c>
      <c r="J102" s="272" t="str">
        <f>+J70</f>
        <v>Available</v>
      </c>
      <c r="K102" s="465">
        <f>+CEILING!L44</f>
        <v>1650321.0613081516</v>
      </c>
      <c r="M102" s="243"/>
      <c r="O102" s="21"/>
      <c r="U102" s="378"/>
      <c r="Y102" s="15"/>
    </row>
    <row r="103" spans="1:25" ht="15" customHeight="1">
      <c r="A103" s="24" t="e">
        <f>VLOOKUP($C103,#REF!,2,FALSE)</f>
        <v>#REF!</v>
      </c>
      <c r="B103" s="24" t="e">
        <f>VLOOKUP($C103,#REF!,6,FALSE)</f>
        <v>#REF!</v>
      </c>
      <c r="C103" s="361"/>
      <c r="D103" s="357"/>
      <c r="E103" s="357"/>
      <c r="F103" s="356"/>
      <c r="G103" s="362"/>
      <c r="H103" s="362"/>
      <c r="I103" s="357"/>
      <c r="J103" s="522"/>
      <c r="K103" s="471"/>
      <c r="L103" s="471"/>
      <c r="M103" s="370"/>
      <c r="N103" s="471"/>
      <c r="O103" s="357"/>
      <c r="P103" s="362"/>
      <c r="Q103" s="467"/>
      <c r="R103" s="363"/>
      <c r="U103" s="378"/>
      <c r="Y103" s="15"/>
    </row>
    <row r="104" spans="1:25" ht="12.75">
      <c r="A104" s="129"/>
      <c r="B104" s="129"/>
      <c r="C104" s="375">
        <v>18268</v>
      </c>
      <c r="D104" s="386" t="str">
        <f>VLOOKUP($C104,'DB Link APP'!$A$2:$T$323,2,FALSE)</f>
        <v>Saline Creek Senior Village</v>
      </c>
      <c r="E104" s="386" t="str">
        <f>VLOOKUP($C104,'DB Link APP'!$A$2:$T$323,17,FALSE)</f>
        <v>JOT Couch</v>
      </c>
      <c r="F104" s="376" t="str">
        <f>VLOOKUP(C104,'DB Link APP'!$A$3:$U$119,8,FALSE)</f>
        <v>Rural</v>
      </c>
      <c r="G104" s="387"/>
      <c r="H104" s="380"/>
      <c r="I104" s="377" t="s">
        <v>162</v>
      </c>
      <c r="J104" s="520" t="str">
        <f>IF(VLOOKUP($C104,'DB Link APP'!$A$2:$N$149,13,FALSE)="General","",VLOOKUP($C104,'DB Link APP'!$A$2:$N$149,13,FALSE))</f>
        <v>Elderly Limitation</v>
      </c>
      <c r="K104" s="506">
        <f>VLOOKUP($C104,'DB Link APP'!$A$2:$T$323,16,FALSE)</f>
        <v>680462</v>
      </c>
      <c r="L104" s="485">
        <f>IF(ISNA(VLOOKUP(C104,'UW Rec Amts'!$A$2:$D$112,4,FALSE)),"",VLOOKUP(C104,'UW Rec Amts'!$A$2:$D$112,4,FALSE))</f>
        <v>662332</v>
      </c>
      <c r="M104" s="385">
        <f>+SUM(L$104:L104)/K$102</f>
        <v>0.40133524047435515</v>
      </c>
      <c r="N104" s="485">
        <f>+IF(M104&lt;=1,L104,0)</f>
        <v>662332</v>
      </c>
      <c r="O104" s="480"/>
      <c r="P104" s="480"/>
      <c r="Q104" s="468">
        <f>+SUM(N104:P104)</f>
        <v>662332</v>
      </c>
      <c r="R104" s="380" t="str">
        <f>+IF(N104&gt;0,"I",IF(O104&gt;0,"R",IF(P104&gt;0,"SW","")))</f>
        <v>I</v>
      </c>
      <c r="S104" s="267" t="str">
        <f>IF(VLOOKUP($C104,'REA-PPR'!$A$2:$E$149,3,FALSE)="","",VLOOKUP($C104,'REA-PPR'!$A$2:$E$149,3,FALSE))</f>
        <v/>
      </c>
      <c r="T104" s="15" t="str">
        <f>IF(VLOOKUP(C104,'UW Rec Amts'!A:H,2,FALSE),"C","")</f>
        <v>C</v>
      </c>
      <c r="U104" s="378" t="str">
        <f>IF(VLOOKUP($C104,'REA-PPR'!$A$2:$E$149,5,FALSE)="","No",VLOOKUP($C104,'REA-PPR'!$A$2:$E$149,5,FALSE))</f>
        <v>No</v>
      </c>
      <c r="V104" s="283"/>
      <c r="Y104" s="15"/>
    </row>
    <row r="105" spans="1:25" ht="12.75" hidden="1">
      <c r="A105" s="129"/>
      <c r="B105" s="129"/>
      <c r="C105" s="406">
        <v>18106</v>
      </c>
      <c r="D105" s="386" t="str">
        <f>VLOOKUP($C105,'DB Link APP'!$A$2:$T$323,2,FALSE)</f>
        <v>Hallsville Estates</v>
      </c>
      <c r="E105" s="386" t="str">
        <f>VLOOKUP($C105,'DB Link APP'!$A$2:$T$323,17,FALSE)</f>
        <v>Adrian Iglesias</v>
      </c>
      <c r="F105" s="376" t="str">
        <f>VLOOKUP(C105,'DB Link APP'!$A$3:$U$140,8,FALSE)</f>
        <v>Rural</v>
      </c>
      <c r="G105" s="387"/>
      <c r="H105" s="380"/>
      <c r="I105" s="377" t="str">
        <f>IF(VLOOKUP($C105,'DB Link APP'!$A$2:$T$323,11,FALSE)=0,"",VLOOKUP($C105,'DB Link APP'!$A$2:$T$323,11,FALSE))</f>
        <v/>
      </c>
      <c r="J105" s="520" t="str">
        <f>IF(VLOOKUP($C105,'REA-PPR'!$A$2:$E$149,5,FALSE)="","No",VLOOKUP($C105,'REA-PPR'!$A$2:$E$149,5,FALSE))</f>
        <v>No</v>
      </c>
      <c r="K105" s="506">
        <f>VLOOKUP($C105,'DB Link APP'!$A$2:$T$323,16,FALSE)</f>
        <v>0</v>
      </c>
      <c r="L105" s="485">
        <f>IF(ISNA(VLOOKUP(C105,'UW Rec Amts'!$A$2:$D$112,4,FALSE)),"",VLOOKUP(C105,'UW Rec Amts'!$A$2:$D$112,4,FALSE))</f>
        <v>0</v>
      </c>
      <c r="M105" s="385">
        <f>+SUM(L$104:L105)/K$102</f>
        <v>0.40133524047435515</v>
      </c>
      <c r="N105" s="485">
        <f t="shared" ref="N105:N106" si="22">+IF(M105&lt;=1,L105,0)</f>
        <v>0</v>
      </c>
      <c r="O105" s="480"/>
      <c r="P105" s="480"/>
      <c r="Q105" s="468">
        <f>+SUM(N105:P105)</f>
        <v>0</v>
      </c>
      <c r="R105" s="380" t="str">
        <f>+IF(N105&gt;0,"I",IF(O105&gt;0,"R",IF(P105&gt;0,"SW","")))</f>
        <v/>
      </c>
      <c r="S105" s="267" t="str">
        <f>IF(VLOOKUP($C105,'REA-PPR'!$A$2:$E$149,3,FALSE)="","",VLOOKUP($C105,'REA-PPR'!$A$2:$E$149,3,FALSE))</f>
        <v/>
      </c>
      <c r="T105" s="15" t="str">
        <f>IF(VLOOKUP(C105,'UW Rec Amts'!A:H,2,FALSE),"C","")</f>
        <v/>
      </c>
      <c r="U105" s="378" t="str">
        <f>IF(VLOOKUP($C105,'REA-PPR'!$A$2:$E$149,5,FALSE)="","No",VLOOKUP($C105,'REA-PPR'!$A$2:$E$149,5,FALSE))</f>
        <v>No</v>
      </c>
      <c r="V105" s="283"/>
      <c r="Y105" s="15"/>
    </row>
    <row r="106" spans="1:25" ht="12.75" hidden="1">
      <c r="A106" s="129"/>
      <c r="B106" s="129"/>
      <c r="C106" s="406">
        <v>18152</v>
      </c>
      <c r="D106" s="386" t="str">
        <f>VLOOKUP($C106,'DB Link APP'!$A$2:$T$323,2,FALSE)</f>
        <v>SilverLeaf at Marshall</v>
      </c>
      <c r="E106" s="386" t="str">
        <f>VLOOKUP($C106,'DB Link APP'!$A$2:$T$323,17,FALSE)</f>
        <v>Ben Dempsey</v>
      </c>
      <c r="F106" s="376" t="str">
        <f>VLOOKUP(C106,'DB Link APP'!$A$3:$U$140,8,FALSE)</f>
        <v>Rural</v>
      </c>
      <c r="G106" s="387"/>
      <c r="H106" s="380"/>
      <c r="I106" s="377" t="str">
        <f>IF(VLOOKUP($C106,'DB Link APP'!$A$2:$T$323,11,FALSE)=0,"",VLOOKUP($C106,'DB Link APP'!$A$2:$T$323,11,FALSE))</f>
        <v/>
      </c>
      <c r="J106" s="520" t="str">
        <f>IF(VLOOKUP($C106,'REA-PPR'!$A$2:$E$149,5,FALSE)="","No",VLOOKUP($C106,'REA-PPR'!$A$2:$E$149,5,FALSE))</f>
        <v>No</v>
      </c>
      <c r="K106" s="506">
        <f>VLOOKUP($C106,'DB Link APP'!$A$2:$T$323,16,FALSE)</f>
        <v>0</v>
      </c>
      <c r="L106" s="485">
        <f>IF(ISNA(VLOOKUP(C106,'UW Rec Amts'!$A$2:$D$112,4,FALSE)),"",VLOOKUP(C106,'UW Rec Amts'!$A$2:$D$112,4,FALSE))</f>
        <v>0</v>
      </c>
      <c r="M106" s="385">
        <f>+SUM(L$104:L106)/K$102</f>
        <v>0.40133524047435515</v>
      </c>
      <c r="N106" s="485">
        <f t="shared" si="22"/>
        <v>0</v>
      </c>
      <c r="O106" s="480"/>
      <c r="P106" s="480"/>
      <c r="Q106" s="468">
        <f>+SUM(N106:P106)</f>
        <v>0</v>
      </c>
      <c r="R106" s="380" t="str">
        <f>+IF(N106&gt;0,"I",IF(O106&gt;0,"R",IF(P106&gt;0,"SW","")))</f>
        <v/>
      </c>
      <c r="S106" s="267" t="str">
        <f>IF(VLOOKUP($C106,'REA-PPR'!$A$2:$E$149,3,FALSE)="","",VLOOKUP($C106,'REA-PPR'!$A$2:$E$149,3,FALSE))</f>
        <v/>
      </c>
      <c r="T106" s="15" t="str">
        <f>IF(VLOOKUP(C106,'UW Rec Amts'!A:H,2,FALSE),"C","")</f>
        <v/>
      </c>
      <c r="U106" s="378" t="str">
        <f>IF(VLOOKUP($C106,'REA-PPR'!$A$2:$E$149,5,FALSE)="","No",VLOOKUP($C106,'REA-PPR'!$A$2:$E$149,5,FALSE))</f>
        <v>No</v>
      </c>
      <c r="V106" s="283"/>
      <c r="Y106" s="15"/>
    </row>
    <row r="107" spans="1:25" ht="14.25" customHeight="1">
      <c r="A107" s="27"/>
      <c r="B107" s="27"/>
      <c r="C107" s="28"/>
      <c r="D107" s="29"/>
      <c r="E107" s="29"/>
      <c r="F107" s="88"/>
      <c r="G107" s="30"/>
      <c r="H107" s="30"/>
      <c r="I107" s="29"/>
      <c r="J107" s="528"/>
      <c r="K107" s="486"/>
      <c r="L107" s="486"/>
      <c r="M107" s="244"/>
      <c r="N107" s="486"/>
      <c r="O107" s="486"/>
      <c r="P107" s="486"/>
      <c r="Q107" s="474"/>
      <c r="R107" s="27"/>
      <c r="U107" s="378"/>
      <c r="V107" s="318" t="s">
        <v>140</v>
      </c>
      <c r="Y107" s="15"/>
    </row>
    <row r="108" spans="1:25">
      <c r="J108" s="272" t="s">
        <v>18</v>
      </c>
      <c r="K108" s="465">
        <f>+SUM(K103:K107)</f>
        <v>680462</v>
      </c>
      <c r="L108" s="498" t="s">
        <v>19</v>
      </c>
      <c r="M108" s="243"/>
      <c r="N108" s="465">
        <f>+SUM(N103:N107)</f>
        <v>662332</v>
      </c>
      <c r="O108" s="465">
        <f>+SUM(O103:O107)</f>
        <v>0</v>
      </c>
      <c r="P108" s="465">
        <f>+SUM(P103:P107)</f>
        <v>0</v>
      </c>
      <c r="Q108" s="465">
        <f>+SUM(Q103:Q107)</f>
        <v>662332</v>
      </c>
      <c r="U108" s="378"/>
      <c r="Y108" s="15"/>
    </row>
    <row r="109" spans="1:25">
      <c r="J109" s="529"/>
      <c r="L109" s="498" t="s">
        <v>20</v>
      </c>
      <c r="M109" s="243"/>
      <c r="N109" s="25">
        <f>1-SUM($N108:N108)/$K102</f>
        <v>0.59866475952564491</v>
      </c>
      <c r="O109" s="25">
        <f>1-SUM($N108:O108)/$K102</f>
        <v>0.59866475952564491</v>
      </c>
      <c r="P109" s="25">
        <f>1-SUM($N108:P108)/$K102</f>
        <v>0.59866475952564491</v>
      </c>
      <c r="Q109" s="25">
        <f>1-SUM($Q108:Q108)/$K102</f>
        <v>0.59866475952564491</v>
      </c>
      <c r="U109" s="378"/>
      <c r="Y109" s="15"/>
    </row>
    <row r="110" spans="1:25" ht="5.25" customHeight="1">
      <c r="J110" s="529"/>
      <c r="M110" s="243"/>
      <c r="U110" s="378"/>
      <c r="Y110" s="15"/>
    </row>
    <row r="111" spans="1:25" ht="15.75">
      <c r="C111" s="354" t="s">
        <v>45</v>
      </c>
      <c r="D111" s="31" t="s">
        <v>14</v>
      </c>
      <c r="J111" s="272" t="str">
        <f>+J102</f>
        <v>Available</v>
      </c>
      <c r="K111" s="465">
        <f>+CEILING!L30</f>
        <v>1160335.7944223054</v>
      </c>
      <c r="M111" s="243"/>
      <c r="U111" s="378"/>
      <c r="Y111" s="15"/>
    </row>
    <row r="112" spans="1:25" ht="12.75" customHeight="1">
      <c r="A112" s="24" t="e">
        <f>VLOOKUP($C112,#REF!,2,FALSE)</f>
        <v>#REF!</v>
      </c>
      <c r="B112" s="24" t="e">
        <f>VLOOKUP($C112,#REF!,6,FALSE)</f>
        <v>#REF!</v>
      </c>
      <c r="C112" s="361"/>
      <c r="D112" s="357"/>
      <c r="E112" s="357"/>
      <c r="F112" s="356"/>
      <c r="G112" s="362"/>
      <c r="H112" s="362"/>
      <c r="I112" s="357"/>
      <c r="J112" s="522"/>
      <c r="K112" s="471"/>
      <c r="L112" s="471"/>
      <c r="M112" s="370"/>
      <c r="N112" s="471"/>
      <c r="O112" s="29"/>
      <c r="P112" s="362"/>
      <c r="Q112" s="467"/>
      <c r="R112" s="363"/>
      <c r="U112" s="378"/>
      <c r="Y112" s="15"/>
    </row>
    <row r="113" spans="1:25">
      <c r="A113" s="24"/>
      <c r="B113" s="120"/>
      <c r="C113" s="389">
        <v>18370</v>
      </c>
      <c r="D113" s="386" t="str">
        <f>VLOOKUP($C113,'DB Link APP'!$A$2:$T$323,2,FALSE)</f>
        <v>Heritage Tower</v>
      </c>
      <c r="E113" s="386" t="str">
        <f>VLOOKUP($C113,'DB Link APP'!$A$2:$T$323,17,FALSE)</f>
        <v>Michael Fogel</v>
      </c>
      <c r="F113" s="376" t="str">
        <f>VLOOKUP(C113,'DB Link APP'!$A$3:$U$140,8,FALSE)</f>
        <v>Urban</v>
      </c>
      <c r="G113" s="387"/>
      <c r="H113" s="380"/>
      <c r="I113" s="377" t="str">
        <f>IF(VLOOKUP($C113,'DB Link APP'!$A$2:$T$323,11,FALSE)=0,"",VLOOKUP($C113,'DB Link APP'!$A$2:$T$323,11,FALSE))</f>
        <v/>
      </c>
      <c r="J113" s="520" t="str">
        <f>IF(VLOOKUP($C113,'DB Link APP'!$A$2:$N$149,13,FALSE)="General","",VLOOKUP($C113,'DB Link APP'!$A$2:$N$149,13,FALSE))</f>
        <v>Elderly Limitation</v>
      </c>
      <c r="K113" s="506">
        <f>VLOOKUP($C113,'DB Link APP'!$A$2:$T$323,16,FALSE)</f>
        <v>573024</v>
      </c>
      <c r="L113" s="485">
        <f>IF(ISNA(VLOOKUP(C113,'UW Rec Amts'!$A$2:$D$112,4,FALSE)),"",VLOOKUP(C113,'UW Rec Amts'!$A$2:$D$112,4,FALSE))</f>
        <v>573024</v>
      </c>
      <c r="M113" s="385">
        <f>+SUM(L$113:L113)/K$111</f>
        <v>0.49384325016474268</v>
      </c>
      <c r="N113" s="483">
        <f>+IF(M113&lt;=1,L113,0)</f>
        <v>573024</v>
      </c>
      <c r="O113" s="116"/>
      <c r="P113" s="480"/>
      <c r="Q113" s="468">
        <f>+SUM(N113:P113)</f>
        <v>573024</v>
      </c>
      <c r="R113" s="380" t="str">
        <f>+IF(N113&gt;0,"I",IF(O113&gt;0,"R",IF(P113&gt;0,"SW","")))</f>
        <v>I</v>
      </c>
      <c r="S113" s="267" t="str">
        <f>IF(VLOOKUP($C113,'REA-PPR'!$A$2:$E$149,3,FALSE)="","",VLOOKUP($C113,'REA-PPR'!$A$2:$E$149,3,FALSE))</f>
        <v/>
      </c>
      <c r="T113" s="15" t="str">
        <f>IF(VLOOKUP(C113,'UW Rec Amts'!A:H,2,FALSE),"C","")</f>
        <v>C</v>
      </c>
      <c r="U113" s="378" t="str">
        <f>IF(VLOOKUP($C113,'REA-PPR'!$A$2:$E$149,5,FALSE)="","No",VLOOKUP($C113,'REA-PPR'!$A$2:$E$149,5,FALSE))</f>
        <v>No</v>
      </c>
      <c r="V113" s="338"/>
      <c r="Y113" s="15"/>
    </row>
    <row r="114" spans="1:25">
      <c r="A114" s="24"/>
      <c r="B114" s="120"/>
      <c r="C114" s="389">
        <v>18398</v>
      </c>
      <c r="D114" s="386" t="str">
        <f>VLOOKUP($C114,'DB Link APP'!$A$2:$T$323,2,FALSE)</f>
        <v>Hickory Trails</v>
      </c>
      <c r="E114" s="386" t="str">
        <f>VLOOKUP($C114,'DB Link APP'!$A$2:$T$323,17,FALSE)</f>
        <v>Michael Fogel</v>
      </c>
      <c r="F114" s="376" t="str">
        <f>VLOOKUP(C114,'DB Link APP'!$A$3:$U$140,8,FALSE)</f>
        <v>Urban</v>
      </c>
      <c r="G114" s="387"/>
      <c r="H114" s="380"/>
      <c r="I114" s="377" t="str">
        <f>IF(VLOOKUP($C114,'DB Link APP'!$A$2:$T$323,11,FALSE)=0,"",VLOOKUP($C114,'DB Link APP'!$A$2:$T$323,11,FALSE))</f>
        <v/>
      </c>
      <c r="J114" s="520" t="str">
        <f>IF(VLOOKUP($C114,'DB Link APP'!$A$2:$N$149,13,FALSE)="General","",VLOOKUP($C114,'DB Link APP'!$A$2:$N$149,13,FALSE))</f>
        <v>Elderly Limitation</v>
      </c>
      <c r="K114" s="506">
        <f>VLOOKUP($C114,'DB Link APP'!$A$2:$T$323,16,FALSE)</f>
        <v>557602</v>
      </c>
      <c r="L114" s="485">
        <f>IF(ISNA(VLOOKUP(C114,'UW Rec Amts'!$A$2:$D$112,4,FALSE)),"",VLOOKUP(C114,'UW Rec Amts'!$A$2:$D$112,4,FALSE))</f>
        <v>557602</v>
      </c>
      <c r="M114" s="385">
        <f>+SUM(L$113:L114)/K$111</f>
        <v>0.97439552018896647</v>
      </c>
      <c r="N114" s="483">
        <f t="shared" ref="N114:N115" si="23">+IF(M114&lt;=1,L114,0)</f>
        <v>557602</v>
      </c>
      <c r="O114" s="116"/>
      <c r="P114" s="480"/>
      <c r="Q114" s="468">
        <f>+SUM(N114:P114)</f>
        <v>557602</v>
      </c>
      <c r="R114" s="380" t="str">
        <f>+IF(N114&gt;0,"I",IF(O114&gt;0,"R",IF(P114&gt;0,"SW","")))</f>
        <v>I</v>
      </c>
      <c r="S114" s="267" t="str">
        <f>IF(VLOOKUP($C114,'REA-PPR'!$A$2:$E$149,3,FALSE)="","",VLOOKUP($C114,'REA-PPR'!$A$2:$E$149,3,FALSE))</f>
        <v/>
      </c>
      <c r="T114" s="15" t="str">
        <f>IF(VLOOKUP(C114,'UW Rec Amts'!A:H,2,FALSE),"C","")</f>
        <v>C</v>
      </c>
      <c r="U114" s="378" t="str">
        <f>IF(VLOOKUP($C114,'REA-PPR'!$A$2:$E$149,5,FALSE)="","No",VLOOKUP($C114,'REA-PPR'!$A$2:$E$149,5,FALSE))</f>
        <v>No</v>
      </c>
      <c r="V114" s="338"/>
      <c r="Y114" s="15"/>
    </row>
    <row r="115" spans="1:25" hidden="1">
      <c r="A115" s="24" t="e">
        <f>VLOOKUP(#REF!,#REF!,2,FALSE)</f>
        <v>#REF!</v>
      </c>
      <c r="B115" s="120" t="e">
        <f>VLOOKUP(#REF!,#REF!,6,FALSE)</f>
        <v>#REF!</v>
      </c>
      <c r="C115" s="407">
        <v>18143</v>
      </c>
      <c r="D115" s="386" t="str">
        <f>VLOOKUP($C115,'DB Link APP'!$A$2:$T$323,2,FALSE)</f>
        <v>Longview Pines Apartments</v>
      </c>
      <c r="E115" s="386" t="str">
        <f>VLOOKUP($C115,'DB Link APP'!$A$2:$T$323,17,FALSE)</f>
        <v>Jeremy Mears</v>
      </c>
      <c r="F115" s="376" t="str">
        <f>VLOOKUP(C115,'DB Link APP'!$A$3:$U$140,8,FALSE)</f>
        <v>Urban</v>
      </c>
      <c r="G115" s="387"/>
      <c r="H115" s="380"/>
      <c r="I115" s="377" t="str">
        <f>IF(VLOOKUP($C115,'DB Link APP'!$A$2:$T$323,11,FALSE)=0,"",VLOOKUP($C115,'DB Link APP'!$A$2:$T$323,11,FALSE))</f>
        <v/>
      </c>
      <c r="J115" s="520" t="str">
        <f>IF(VLOOKUP($C115,'REA-PPR'!$A$2:$E$149,5,FALSE)="","No",VLOOKUP($C115,'REA-PPR'!$A$2:$E$149,5,FALSE))</f>
        <v>No</v>
      </c>
      <c r="K115" s="506">
        <f>VLOOKUP($C115,'DB Link APP'!$A$2:$T$323,16,FALSE)</f>
        <v>0</v>
      </c>
      <c r="L115" s="485">
        <f>IF(ISNA(VLOOKUP(C115,'UW Rec Amts'!$A$2:$D$112,4,FALSE)),"",VLOOKUP(C115,'UW Rec Amts'!$A$2:$D$112,4,FALSE))</f>
        <v>0</v>
      </c>
      <c r="M115" s="385">
        <f>+SUM(L$113:L115)/K$111</f>
        <v>0.97439552018896647</v>
      </c>
      <c r="N115" s="483">
        <f t="shared" si="23"/>
        <v>0</v>
      </c>
      <c r="O115" s="116"/>
      <c r="P115" s="480"/>
      <c r="Q115" s="468">
        <f>+SUM(N115:P115)</f>
        <v>0</v>
      </c>
      <c r="R115" s="380" t="str">
        <f>+IF(N115&gt;0,"I",IF(O115&gt;0,"R",IF(P115&gt;0,"SW","")))</f>
        <v/>
      </c>
      <c r="S115" s="267" t="str">
        <f>IF(VLOOKUP($C115,'REA-PPR'!$A$2:$E$149,3,FALSE)="","",VLOOKUP($C115,'REA-PPR'!$A$2:$E$149,3,FALSE))</f>
        <v/>
      </c>
      <c r="T115" s="15" t="str">
        <f>IF(VLOOKUP(C115,'UW Rec Amts'!A:H,2,FALSE),"C","")</f>
        <v/>
      </c>
      <c r="U115" s="378" t="str">
        <f>IF(VLOOKUP($C115,'REA-PPR'!$A$2:$E$149,5,FALSE)="","No",VLOOKUP($C115,'REA-PPR'!$A$2:$E$149,5,FALSE))</f>
        <v>No</v>
      </c>
      <c r="V115" s="280"/>
      <c r="Y115" s="15"/>
    </row>
    <row r="116" spans="1:25">
      <c r="A116" s="24"/>
      <c r="B116" s="120"/>
      <c r="C116" s="364"/>
      <c r="D116" s="365"/>
      <c r="E116" s="365"/>
      <c r="F116" s="366"/>
      <c r="G116" s="367"/>
      <c r="H116" s="367"/>
      <c r="I116" s="365"/>
      <c r="J116" s="523"/>
      <c r="K116" s="481"/>
      <c r="L116" s="481"/>
      <c r="M116" s="372"/>
      <c r="N116" s="481"/>
      <c r="O116" s="29"/>
      <c r="P116" s="481"/>
      <c r="Q116" s="470"/>
      <c r="R116" s="368"/>
      <c r="U116" s="378"/>
      <c r="V116" s="338"/>
      <c r="Y116" s="15"/>
    </row>
    <row r="117" spans="1:25">
      <c r="A117" s="24"/>
      <c r="B117" s="120"/>
      <c r="J117" s="272" t="s">
        <v>18</v>
      </c>
      <c r="K117" s="465">
        <f>+SUM(K112:K116)</f>
        <v>1130626</v>
      </c>
      <c r="L117" s="498" t="s">
        <v>19</v>
      </c>
      <c r="M117" s="243"/>
      <c r="N117" s="465">
        <f>+SUM(N112:N116)</f>
        <v>1130626</v>
      </c>
      <c r="P117" s="465">
        <f>+SUM(P112:P116)</f>
        <v>0</v>
      </c>
      <c r="Q117" s="465">
        <f>+SUM(Q112:Q116)</f>
        <v>1130626</v>
      </c>
      <c r="U117" s="378"/>
      <c r="V117" s="283"/>
      <c r="Y117" s="15"/>
    </row>
    <row r="118" spans="1:25" ht="12" customHeight="1">
      <c r="A118" s="27"/>
      <c r="B118" s="27"/>
      <c r="J118" s="524"/>
      <c r="L118" s="498" t="s">
        <v>20</v>
      </c>
      <c r="M118" s="243"/>
      <c r="N118" s="25">
        <f>1-SUM($N117:N117)/$K111</f>
        <v>2.5604479811033531E-2</v>
      </c>
      <c r="O118" s="25"/>
      <c r="P118" s="25">
        <f>1-SUM($N117:P117)/$K111</f>
        <v>2.5604479811033531E-2</v>
      </c>
      <c r="Q118" s="25">
        <f>1-SUM($Q117:Q117)/$K111</f>
        <v>2.5604479811033531E-2</v>
      </c>
      <c r="U118" s="378"/>
      <c r="Y118" s="15"/>
    </row>
    <row r="119" spans="1:25" ht="6" customHeight="1">
      <c r="J119" s="524"/>
      <c r="M119" s="243"/>
      <c r="U119" s="378"/>
      <c r="Y119" s="15"/>
    </row>
    <row r="120" spans="1:25" ht="15.75">
      <c r="C120" s="354" t="s">
        <v>46</v>
      </c>
      <c r="D120" s="31" t="s">
        <v>6</v>
      </c>
      <c r="J120" s="272" t="str">
        <f>+J111</f>
        <v>Available</v>
      </c>
      <c r="K120" s="465">
        <f>+CEILING!L45</f>
        <v>1013150.8933849161</v>
      </c>
      <c r="M120" s="243"/>
      <c r="U120" s="378"/>
      <c r="Y120" s="15"/>
    </row>
    <row r="121" spans="1:25">
      <c r="C121" s="361"/>
      <c r="D121" s="357"/>
      <c r="E121" s="357"/>
      <c r="F121" s="356"/>
      <c r="G121" s="362"/>
      <c r="H121" s="362"/>
      <c r="I121" s="357"/>
      <c r="J121" s="522"/>
      <c r="K121" s="471"/>
      <c r="L121" s="471"/>
      <c r="M121" s="370"/>
      <c r="N121" s="471"/>
      <c r="O121" s="357"/>
      <c r="P121" s="362"/>
      <c r="Q121" s="467"/>
      <c r="R121" s="363"/>
      <c r="U121" s="378"/>
      <c r="Y121" s="15"/>
    </row>
    <row r="122" spans="1:25" ht="12.75" customHeight="1">
      <c r="A122" s="24" t="e">
        <f>VLOOKUP($C121,#REF!,2,FALSE)</f>
        <v>#REF!</v>
      </c>
      <c r="B122" s="120" t="e">
        <f>VLOOKUP($C121,#REF!,6,FALSE)</f>
        <v>#REF!</v>
      </c>
      <c r="C122" s="382">
        <v>18371</v>
      </c>
      <c r="D122" s="386" t="str">
        <f>VLOOKUP($C122,'DB Link APP'!$A$2:$T$323,2,FALSE)</f>
        <v>Diboll Pioneer Crossing</v>
      </c>
      <c r="E122" s="386" t="str">
        <f>VLOOKUP($C122,'DB Link APP'!$A$2:$T$323,17,FALSE)</f>
        <v>Noorallah Jooma</v>
      </c>
      <c r="F122" s="376" t="str">
        <f>VLOOKUP(C122,'DB Link APP'!$A$3:$U$140,8,FALSE)</f>
        <v>Rural</v>
      </c>
      <c r="G122" s="387"/>
      <c r="H122" s="380"/>
      <c r="I122" s="377" t="str">
        <f>IF(VLOOKUP($C122,'DB Link APP'!$A$2:$T$323,11,FALSE)=0,"",VLOOKUP($C122,'DB Link APP'!$A$2:$T$323,11,FALSE))</f>
        <v/>
      </c>
      <c r="J122" s="520" t="str">
        <f>IF(VLOOKUP($C122,'DB Link APP'!$A$2:$N$149,13,FALSE)="General","",VLOOKUP($C122,'DB Link APP'!$A$2:$N$149,13,FALSE))</f>
        <v/>
      </c>
      <c r="K122" s="506">
        <f>VLOOKUP($C122,'DB Link APP'!$A$2:$T$323,16,FALSE)</f>
        <v>848813</v>
      </c>
      <c r="L122" s="485">
        <f>IF(ISNA(VLOOKUP(C122,'UW Rec Amts'!$A$2:$D$112,4,FALSE)),"",VLOOKUP(C122,'UW Rec Amts'!$A$2:$D$112,4,FALSE))</f>
        <v>848813</v>
      </c>
      <c r="M122" s="385">
        <f>+SUM(L$122:L122)/K$120</f>
        <v>0.83779524406688655</v>
      </c>
      <c r="N122" s="483">
        <f>+IF(M122&lt;=1,L122,0)</f>
        <v>848813</v>
      </c>
      <c r="O122" s="480"/>
      <c r="P122" s="480"/>
      <c r="Q122" s="468">
        <f>+SUM(N122:P122)</f>
        <v>848813</v>
      </c>
      <c r="R122" s="380" t="str">
        <f>+IF(N122&gt;0,"I",IF(O122&gt;0,"R",IF(P122&gt;0,"SW","")))</f>
        <v>I</v>
      </c>
      <c r="S122" s="267" t="str">
        <f>IF(VLOOKUP($C122,'REA-PPR'!$A$2:$E$149,3,FALSE)="","",VLOOKUP($C122,'REA-PPR'!$A$2:$E$149,3,FALSE))</f>
        <v/>
      </c>
      <c r="T122" s="15" t="str">
        <f>IF(VLOOKUP(C122,'UW Rec Amts'!A:H,2,FALSE),"C","")</f>
        <v>C</v>
      </c>
      <c r="U122" s="378" t="str">
        <f>IF(VLOOKUP($C122,'REA-PPR'!$A$2:$E$149,5,FALSE)="","No",VLOOKUP($C122,'REA-PPR'!$A$2:$E$149,5,FALSE))</f>
        <v>No</v>
      </c>
      <c r="Y122" s="15"/>
    </row>
    <row r="123" spans="1:25">
      <c r="C123" s="382">
        <v>18283</v>
      </c>
      <c r="D123" s="386" t="str">
        <f>VLOOKUP($C123,'DB Link APP'!$A$2:$T$323,2,FALSE)</f>
        <v>Pines at Allen Street</v>
      </c>
      <c r="E123" s="386" t="str">
        <f>VLOOKUP($C123,'DB Link APP'!$A$2:$T$323,17,FALSE)</f>
        <v>Miranda Sprague</v>
      </c>
      <c r="F123" s="376" t="str">
        <f>VLOOKUP(C123,'DB Link APP'!$A$3:$U$119,8,FALSE)</f>
        <v>Rural</v>
      </c>
      <c r="G123" s="387"/>
      <c r="H123" s="380"/>
      <c r="I123" s="377" t="s">
        <v>162</v>
      </c>
      <c r="J123" s="520" t="str">
        <f>IF(VLOOKUP($C123,'DB Link APP'!$A$2:$N$149,13,FALSE)="General","",VLOOKUP($C123,'DB Link APP'!$A$2:$N$149,13,FALSE))</f>
        <v/>
      </c>
      <c r="K123" s="506">
        <f>VLOOKUP($C123,'DB Link APP'!$A$2:$T$323,16,FALSE)</f>
        <v>979220</v>
      </c>
      <c r="L123" s="485">
        <f>IF(ISNA(VLOOKUP(C123,'UW Rec Amts'!$A$2:$D$112,4,FALSE)),"",VLOOKUP(C123,'UW Rec Amts'!$A$2:$D$112,4,FALSE))</f>
        <v>979220</v>
      </c>
      <c r="M123" s="385">
        <f>+SUM(L$122:L123)/K$120</f>
        <v>1.8043047802016732</v>
      </c>
      <c r="N123" s="483">
        <f>+IF(M123&lt;=1,L123,0)</f>
        <v>0</v>
      </c>
      <c r="O123" s="480">
        <f>L123</f>
        <v>979220</v>
      </c>
      <c r="P123" s="480"/>
      <c r="Q123" s="468">
        <f>+SUM(N123:P123)</f>
        <v>979220</v>
      </c>
      <c r="R123" s="380" t="str">
        <f>+IF(N123&gt;0,"I",IF(O123&gt;0,"R",IF(P123&gt;0,"SW","")))</f>
        <v>R</v>
      </c>
      <c r="S123" s="267" t="str">
        <f>IF(VLOOKUP($C123,'REA-PPR'!$A$2:$E$149,3,FALSE)="","",VLOOKUP($C123,'REA-PPR'!$A$2:$E$149,3,FALSE))</f>
        <v/>
      </c>
      <c r="T123" s="15" t="str">
        <f>IF(VLOOKUP(C123,'UW Rec Amts'!A:H,2,FALSE),"C","")</f>
        <v>C</v>
      </c>
      <c r="U123" s="378" t="str">
        <f>IF(VLOOKUP($C123,'REA-PPR'!$A$2:$E$149,5,FALSE)="","No",VLOOKUP($C123,'REA-PPR'!$A$2:$E$149,5,FALSE))</f>
        <v>No</v>
      </c>
      <c r="Y123" s="15"/>
    </row>
    <row r="124" spans="1:25" ht="12" customHeight="1">
      <c r="A124" s="24" t="e">
        <f>VLOOKUP($C123,#REF!,2,FALSE)</f>
        <v>#REF!</v>
      </c>
      <c r="B124" s="120" t="e">
        <f>VLOOKUP($C123,#REF!,6,FALSE)</f>
        <v>#REF!</v>
      </c>
      <c r="C124" s="364"/>
      <c r="D124" s="365"/>
      <c r="E124" s="365"/>
      <c r="F124" s="366"/>
      <c r="G124" s="367"/>
      <c r="H124" s="367"/>
      <c r="I124" s="365"/>
      <c r="J124" s="523"/>
      <c r="K124" s="481"/>
      <c r="L124" s="481"/>
      <c r="M124" s="372"/>
      <c r="N124" s="481"/>
      <c r="O124" s="481"/>
      <c r="P124" s="481"/>
      <c r="Q124" s="470"/>
      <c r="R124" s="368"/>
      <c r="U124" s="378"/>
      <c r="V124" s="280"/>
      <c r="Y124" s="15"/>
    </row>
    <row r="125" spans="1:25" ht="12" customHeight="1">
      <c r="A125" s="24"/>
      <c r="B125" s="120"/>
      <c r="J125" s="272" t="s">
        <v>18</v>
      </c>
      <c r="K125" s="465">
        <f>+SUM(K121:K124)</f>
        <v>1828033</v>
      </c>
      <c r="L125" s="498" t="s">
        <v>19</v>
      </c>
      <c r="M125" s="243"/>
      <c r="N125" s="465">
        <f>+SUM(N121:N124)</f>
        <v>848813</v>
      </c>
      <c r="O125" s="465">
        <f>+SUM(O121:O124)</f>
        <v>979220</v>
      </c>
      <c r="P125" s="465">
        <f>+SUM(P121:P124)</f>
        <v>0</v>
      </c>
      <c r="Q125" s="465">
        <f>+SUM(Q121:Q124)</f>
        <v>1828033</v>
      </c>
      <c r="U125" s="378"/>
      <c r="V125" s="283"/>
      <c r="Y125" s="15"/>
    </row>
    <row r="126" spans="1:25" ht="12" customHeight="1">
      <c r="A126" s="27"/>
      <c r="B126" s="27"/>
      <c r="J126" s="524"/>
      <c r="L126" s="498" t="s">
        <v>20</v>
      </c>
      <c r="M126" s="243"/>
      <c r="N126" s="25">
        <f>1-SUM($N125:N125)/$K120</f>
        <v>0.16220475593311345</v>
      </c>
      <c r="O126" s="25">
        <f>1-SUM($N125:O125)/$K120</f>
        <v>-0.80430478020167318</v>
      </c>
      <c r="P126" s="25">
        <f>1-SUM($N125:P125)/$K120</f>
        <v>-0.80430478020167318</v>
      </c>
      <c r="Q126" s="25">
        <f>1-SUM($Q125:Q125)/$K120</f>
        <v>-0.80430478020167318</v>
      </c>
      <c r="U126" s="378"/>
      <c r="Y126" s="15"/>
    </row>
    <row r="127" spans="1:25" ht="6.75" customHeight="1">
      <c r="J127" s="524"/>
      <c r="M127" s="243"/>
      <c r="U127" s="378"/>
      <c r="Y127" s="15"/>
    </row>
    <row r="128" spans="1:25" ht="15.75">
      <c r="C128" s="354" t="s">
        <v>46</v>
      </c>
      <c r="D128" s="31" t="s">
        <v>14</v>
      </c>
      <c r="J128" s="272" t="str">
        <f>+J120</f>
        <v>Available</v>
      </c>
      <c r="K128" s="465">
        <f>+CEILING!L31</f>
        <v>816566.05952515663</v>
      </c>
      <c r="M128" s="243"/>
      <c r="U128" s="378"/>
      <c r="Y128" s="15"/>
    </row>
    <row r="129" spans="1:25">
      <c r="C129" s="28"/>
      <c r="D129" s="29"/>
      <c r="E129" s="29"/>
      <c r="F129" s="88"/>
      <c r="G129" s="30"/>
      <c r="H129" s="30"/>
      <c r="I129" s="29"/>
      <c r="J129" s="528"/>
      <c r="K129" s="486"/>
      <c r="L129" s="486"/>
      <c r="M129" s="244"/>
      <c r="N129" s="486"/>
      <c r="O129" s="29"/>
      <c r="P129" s="30"/>
      <c r="Q129" s="474"/>
      <c r="R129" s="27"/>
      <c r="U129" s="378"/>
      <c r="Y129" s="15"/>
    </row>
    <row r="130" spans="1:25">
      <c r="C130" s="253">
        <v>18095</v>
      </c>
      <c r="D130" s="123" t="str">
        <f>VLOOKUP($C130,'DB Link APP'!$A$2:$T$323,2,FALSE)</f>
        <v>Retreat West Beaumont</v>
      </c>
      <c r="E130" s="123" t="str">
        <f>VLOOKUP($C130,'DB Link APP'!$A$2:$T$323,17,FALSE)</f>
        <v>Melissa Giacona</v>
      </c>
      <c r="F130" s="117" t="str">
        <f>VLOOKUP(C130,'DB Link APP'!$A$3:$U$119,8,FALSE)</f>
        <v>Urban</v>
      </c>
      <c r="G130" s="124"/>
      <c r="H130" s="121"/>
      <c r="I130" s="262" t="str">
        <f>IF(VLOOKUP($C130,'DB Link APP'!$A$2:$T$323,11,FALSE)=0,"",VLOOKUP($C130,'DB Link APP'!$A$2:$T$323,11,FALSE))</f>
        <v/>
      </c>
      <c r="J130" s="520" t="str">
        <f>IF(VLOOKUP($C130,'DB Link APP'!$A$2:$N$149,13,FALSE)="General","",VLOOKUP($C130,'DB Link APP'!$A$2:$N$149,13,FALSE))</f>
        <v>Elderly Limitation</v>
      </c>
      <c r="K130" s="509">
        <f>VLOOKUP($C130,'DB Link APP'!$A$2:$T$323,16,FALSE)</f>
        <v>1067319</v>
      </c>
      <c r="L130" s="500">
        <f>IF(ISNA(VLOOKUP(C130,'UW Rec Amts'!$A$2:$D$112,4,FALSE)),"",VLOOKUP(C130,'UW Rec Amts'!$A$2:$D$112,4,FALSE))</f>
        <v>1067319</v>
      </c>
      <c r="M130" s="245">
        <f>+SUM(L$130:L130)/K$128</f>
        <v>1.307082247112572</v>
      </c>
      <c r="N130" s="487">
        <f>+IF(M130&lt;=1,L130,0)</f>
        <v>0</v>
      </c>
      <c r="O130" s="116"/>
      <c r="P130" s="516">
        <f>L130</f>
        <v>1067319</v>
      </c>
      <c r="Q130" s="475">
        <f>+SUM(N130:P130)</f>
        <v>1067319</v>
      </c>
      <c r="R130" s="121" t="str">
        <f>+IF(N130&gt;0,"I",IF(O130&gt;0,"R",IF(P130&gt;0,"SW","")))</f>
        <v>SW</v>
      </c>
      <c r="S130" s="267" t="str">
        <f>IF(VLOOKUP($C130,'REA-PPR'!$A$2:$E$149,3,FALSE)="","",VLOOKUP($C130,'REA-PPR'!$A$2:$E$149,3,FALSE))</f>
        <v/>
      </c>
      <c r="T130" s="15" t="str">
        <f>IF(VLOOKUP(C130,'UW Rec Amts'!A:H,2,FALSE),"C","")</f>
        <v>C</v>
      </c>
      <c r="U130" s="378" t="str">
        <f>IF(VLOOKUP($C130,'REA-PPR'!$A$2:$E$149,5,FALSE)="","No",VLOOKUP($C130,'REA-PPR'!$A$2:$E$149,5,FALSE))</f>
        <v>No</v>
      </c>
      <c r="Y130" s="15"/>
    </row>
    <row r="131" spans="1:25">
      <c r="A131" s="24" t="e">
        <f>VLOOKUP($C130,#REF!,2,FALSE)</f>
        <v>#REF!</v>
      </c>
      <c r="B131" s="120" t="e">
        <f>VLOOKUP($C130,#REF!,6,FALSE)</f>
        <v>#REF!</v>
      </c>
      <c r="C131" s="28"/>
      <c r="D131" s="29"/>
      <c r="E131" s="29"/>
      <c r="F131" s="88"/>
      <c r="G131" s="30"/>
      <c r="H131" s="30"/>
      <c r="I131" s="29"/>
      <c r="J131" s="528"/>
      <c r="K131" s="486"/>
      <c r="L131" s="486"/>
      <c r="M131" s="244"/>
      <c r="N131" s="486"/>
      <c r="O131" s="29"/>
      <c r="P131" s="486"/>
      <c r="Q131" s="474"/>
      <c r="R131" s="27"/>
      <c r="U131" s="378"/>
      <c r="V131" s="280"/>
      <c r="Y131" s="15"/>
    </row>
    <row r="132" spans="1:25">
      <c r="A132" s="24"/>
      <c r="B132" s="120"/>
      <c r="J132" s="272" t="s">
        <v>18</v>
      </c>
      <c r="K132" s="465">
        <f>+SUM(K129:K131)</f>
        <v>1067319</v>
      </c>
      <c r="L132" s="498" t="s">
        <v>19</v>
      </c>
      <c r="M132" s="243"/>
      <c r="N132" s="465">
        <f>+SUM(N129:N131)</f>
        <v>0</v>
      </c>
      <c r="P132" s="465">
        <f>+SUM(P129:P131)</f>
        <v>1067319</v>
      </c>
      <c r="Q132" s="465">
        <f>+SUM(Q129:Q131)</f>
        <v>1067319</v>
      </c>
      <c r="U132" s="378"/>
      <c r="V132" s="320"/>
      <c r="Y132" s="15"/>
    </row>
    <row r="133" spans="1:25" ht="12" customHeight="1">
      <c r="A133" s="27"/>
      <c r="B133" s="27"/>
      <c r="J133" s="524"/>
      <c r="L133" s="498" t="s">
        <v>20</v>
      </c>
      <c r="M133" s="243"/>
      <c r="N133" s="25">
        <f>1-SUM($N132:N132)/$K128</f>
        <v>1</v>
      </c>
      <c r="O133" s="25"/>
      <c r="P133" s="25">
        <f>1-SUM($N132:P132)/$K128</f>
        <v>-0.30708224711257204</v>
      </c>
      <c r="Q133" s="25">
        <f>1-SUM($Q132:Q132)/$K128</f>
        <v>-0.30708224711257204</v>
      </c>
      <c r="U133" s="378"/>
      <c r="Y133" s="15"/>
    </row>
    <row r="134" spans="1:25" ht="6" customHeight="1">
      <c r="J134" s="524"/>
      <c r="M134" s="243"/>
      <c r="U134" s="378"/>
      <c r="Y134" s="15"/>
    </row>
    <row r="135" spans="1:25" ht="15.75">
      <c r="C135" s="354" t="s">
        <v>47</v>
      </c>
      <c r="D135" s="31" t="s">
        <v>6</v>
      </c>
      <c r="J135" s="272" t="str">
        <f>+J128</f>
        <v>Available</v>
      </c>
      <c r="K135" s="465">
        <f>+CEILING!L46</f>
        <v>500000</v>
      </c>
      <c r="M135" s="243"/>
      <c r="U135" s="378"/>
      <c r="Y135" s="15"/>
    </row>
    <row r="136" spans="1:25">
      <c r="C136" s="361"/>
      <c r="D136" s="357"/>
      <c r="E136" s="357"/>
      <c r="F136" s="356"/>
      <c r="G136" s="362"/>
      <c r="H136" s="362"/>
      <c r="I136" s="357"/>
      <c r="J136" s="522"/>
      <c r="K136" s="471"/>
      <c r="L136" s="471"/>
      <c r="M136" s="370"/>
      <c r="N136" s="471"/>
      <c r="O136" s="357"/>
      <c r="P136" s="362"/>
      <c r="Q136" s="467"/>
      <c r="R136" s="363"/>
      <c r="U136" s="378"/>
      <c r="Y136" s="15"/>
    </row>
    <row r="137" spans="1:25" ht="12.75" customHeight="1">
      <c r="A137" s="24" t="e">
        <f>VLOOKUP($C136,#REF!,2,FALSE)</f>
        <v>#REF!</v>
      </c>
      <c r="B137" s="120" t="e">
        <f>VLOOKUP($C136,#REF!,6,FALSE)</f>
        <v>#REF!</v>
      </c>
      <c r="C137" s="382">
        <v>18353</v>
      </c>
      <c r="D137" s="386" t="str">
        <f>VLOOKUP($C137,'DB Link APP'!$A$2:$T$323,2,FALSE)</f>
        <v>Heritage Seniors</v>
      </c>
      <c r="E137" s="386" t="str">
        <f>VLOOKUP($C137,'DB Link APP'!$A$2:$T$323,17,FALSE)</f>
        <v>Nathan Kelley</v>
      </c>
      <c r="F137" s="376" t="str">
        <f>VLOOKUP(C137,'DB Link APP'!$A$3:$U$140,8,FALSE)</f>
        <v>Rural</v>
      </c>
      <c r="G137" s="387"/>
      <c r="H137" s="380"/>
      <c r="I137" s="377" t="s">
        <v>162</v>
      </c>
      <c r="J137" s="520" t="str">
        <f>IF(VLOOKUP($C137,'DB Link APP'!$A$2:$N$149,13,FALSE)="General","",VLOOKUP($C137,'DB Link APP'!$A$2:$N$149,13,FALSE))</f>
        <v>Elderly Limitation</v>
      </c>
      <c r="K137" s="506">
        <f>VLOOKUP($C137,'DB Link APP'!$A$2:$T$323,16,FALSE)</f>
        <v>750000</v>
      </c>
      <c r="L137" s="485">
        <f>IF(ISNA(VLOOKUP(C137,'UW Rec Amts'!$A$2:$D$112,4,FALSE)),"",VLOOKUP(C137,'UW Rec Amts'!$A$2:$D$112,4,FALSE))</f>
        <v>750000</v>
      </c>
      <c r="M137" s="385">
        <f>+SUM(L$137:L137)/K$135</f>
        <v>1.5</v>
      </c>
      <c r="N137" s="483">
        <f>+IF(M137&lt;=1,L137,0)</f>
        <v>0</v>
      </c>
      <c r="O137" s="480">
        <f>L137</f>
        <v>750000</v>
      </c>
      <c r="P137" s="480"/>
      <c r="Q137" s="468">
        <f>+SUM(N137:P137)</f>
        <v>750000</v>
      </c>
      <c r="R137" s="380" t="str">
        <f>+IF(N137&gt;0,"I",IF(O137&gt;0,"R",IF(P137&gt;0,"SW","")))</f>
        <v>R</v>
      </c>
      <c r="S137" s="267" t="str">
        <f>IF(VLOOKUP($C137,'REA-PPR'!$A$2:$E$149,3,FALSE)="","",VLOOKUP($C137,'REA-PPR'!$A$2:$E$149,3,FALSE))</f>
        <v/>
      </c>
      <c r="T137" s="15" t="str">
        <f>IF(VLOOKUP(C137,'UW Rec Amts'!A:H,2,FALSE),"C","")</f>
        <v>C</v>
      </c>
      <c r="U137" s="378" t="str">
        <f>IF(VLOOKUP($C137,'REA-PPR'!$A$2:$E$149,5,FALSE)="","No",VLOOKUP($C137,'REA-PPR'!$A$2:$E$149,5,FALSE))</f>
        <v>No</v>
      </c>
      <c r="Y137" s="15"/>
    </row>
    <row r="138" spans="1:25">
      <c r="C138" s="382">
        <v>18305</v>
      </c>
      <c r="D138" s="386" t="str">
        <f>VLOOKUP($C138,'DB Link APP'!$A$2:$T$323,2,FALSE)</f>
        <v>Star of Texas Seniors</v>
      </c>
      <c r="E138" s="386" t="str">
        <f>VLOOKUP($C138,'DB Link APP'!$A$2:$T$323,17,FALSE)</f>
        <v>Emanuel H. Glockzin, Jr.</v>
      </c>
      <c r="F138" s="376" t="str">
        <f>VLOOKUP(C138,'DB Link APP'!$A$3:$U$119,8,FALSE)</f>
        <v>Rural</v>
      </c>
      <c r="G138" s="387"/>
      <c r="H138" s="380"/>
      <c r="I138" s="377" t="str">
        <f>IF(VLOOKUP($C138,'DB Link APP'!$A$2:$T$323,11,FALSE)=0,"",VLOOKUP($C138,'DB Link APP'!$A$2:$T$323,11,FALSE))</f>
        <v/>
      </c>
      <c r="J138" s="520" t="str">
        <f>IF(VLOOKUP($C138,'DB Link APP'!$A$2:$N$149,13,FALSE)="General","",VLOOKUP($C138,'DB Link APP'!$A$2:$N$149,13,FALSE))</f>
        <v>Elderly Limitation</v>
      </c>
      <c r="K138" s="506">
        <f>VLOOKUP($C138,'DB Link APP'!$A$2:$T$323,16,FALSE)</f>
        <v>613529</v>
      </c>
      <c r="L138" s="485">
        <f>IF(ISNA(VLOOKUP(C138,'UW Rec Amts'!$A$2:$D$112,4,FALSE)),"",VLOOKUP(C138,'UW Rec Amts'!$A$2:$D$112,4,FALSE))</f>
        <v>600327</v>
      </c>
      <c r="M138" s="385">
        <f>+SUM(L$137:L138)/K$135</f>
        <v>2.7006540000000001</v>
      </c>
      <c r="N138" s="483">
        <f>+IF(M138&lt;=1,L138,0)</f>
        <v>0</v>
      </c>
      <c r="O138" s="480"/>
      <c r="P138" s="480"/>
      <c r="Q138" s="468">
        <f>+SUM(N138:P138)</f>
        <v>0</v>
      </c>
      <c r="R138" s="380" t="str">
        <f>+IF(N138&gt;0,"I",IF(O138&gt;0,"R",IF(P138&gt;0,"SW","")))</f>
        <v/>
      </c>
      <c r="S138" s="267" t="str">
        <f>IF(VLOOKUP($C138,'REA-PPR'!$A$2:$E$149,3,FALSE)="","",VLOOKUP($C138,'REA-PPR'!$A$2:$E$149,3,FALSE))</f>
        <v/>
      </c>
      <c r="T138" s="15" t="str">
        <f>IF(VLOOKUP(C138,'UW Rec Amts'!A:H,2,FALSE),"C","")</f>
        <v>C</v>
      </c>
      <c r="U138" s="378" t="str">
        <f>IF(VLOOKUP($C138,'REA-PPR'!$A$2:$E$149,5,FALSE)="","No",VLOOKUP($C138,'REA-PPR'!$A$2:$E$149,5,FALSE))</f>
        <v>No</v>
      </c>
      <c r="Y138" s="15"/>
    </row>
    <row r="139" spans="1:25" ht="12" customHeight="1">
      <c r="A139" s="24"/>
      <c r="B139" s="120"/>
      <c r="C139" s="28"/>
      <c r="D139" s="29"/>
      <c r="E139" s="29"/>
      <c r="F139" s="88"/>
      <c r="G139" s="30"/>
      <c r="H139" s="30"/>
      <c r="I139" s="29"/>
      <c r="J139" s="528"/>
      <c r="K139" s="486"/>
      <c r="L139" s="486"/>
      <c r="M139" s="244"/>
      <c r="N139" s="486"/>
      <c r="O139" s="486"/>
      <c r="P139" s="486"/>
      <c r="Q139" s="474"/>
      <c r="R139" s="27"/>
      <c r="U139" s="378"/>
      <c r="V139" s="283"/>
      <c r="Y139" s="15"/>
    </row>
    <row r="140" spans="1:25" ht="12" customHeight="1">
      <c r="A140" s="24"/>
      <c r="B140" s="120"/>
      <c r="J140" s="272" t="s">
        <v>18</v>
      </c>
      <c r="K140" s="465">
        <f>+SUM(K136:K139)</f>
        <v>1363529</v>
      </c>
      <c r="L140" s="498" t="s">
        <v>19</v>
      </c>
      <c r="M140" s="243"/>
      <c r="N140" s="465">
        <f>+SUM(N136:N139)</f>
        <v>0</v>
      </c>
      <c r="O140" s="465">
        <f>+SUM(O136:O139)</f>
        <v>750000</v>
      </c>
      <c r="P140" s="465">
        <f>+SUM(P136:P139)</f>
        <v>0</v>
      </c>
      <c r="Q140" s="465">
        <f>+SUM(Q136:Q139)</f>
        <v>750000</v>
      </c>
      <c r="U140" s="378"/>
      <c r="V140" s="283"/>
      <c r="Y140" s="15"/>
    </row>
    <row r="141" spans="1:25" ht="12" customHeight="1">
      <c r="A141" s="27"/>
      <c r="B141" s="27"/>
      <c r="J141" s="524"/>
      <c r="L141" s="498" t="s">
        <v>20</v>
      </c>
      <c r="M141" s="243"/>
      <c r="N141" s="25">
        <f>1-SUM($N140:N140)/$K135</f>
        <v>1</v>
      </c>
      <c r="O141" s="25">
        <f>1-SUM($N140:O140)/$K135</f>
        <v>-0.5</v>
      </c>
      <c r="P141" s="25">
        <f>1-SUM($N140:P140)/$K135</f>
        <v>-0.5</v>
      </c>
      <c r="Q141" s="25">
        <f>1-SUM($Q140:Q140)/$K135</f>
        <v>-0.5</v>
      </c>
      <c r="U141" s="378"/>
      <c r="Y141" s="15"/>
    </row>
    <row r="142" spans="1:25" ht="6" customHeight="1">
      <c r="J142" s="524"/>
      <c r="M142" s="243"/>
      <c r="U142" s="378"/>
      <c r="Y142" s="15"/>
    </row>
    <row r="143" spans="1:25" ht="13.5" customHeight="1">
      <c r="C143" s="354" t="s">
        <v>47</v>
      </c>
      <c r="D143" s="31" t="s">
        <v>14</v>
      </c>
      <c r="J143" s="272" t="str">
        <f>+J135</f>
        <v>Available</v>
      </c>
      <c r="K143" s="510">
        <f>+CEILING!L32</f>
        <v>13587011.06902908</v>
      </c>
      <c r="M143" s="243"/>
      <c r="U143" s="378"/>
      <c r="Y143" s="15"/>
    </row>
    <row r="144" spans="1:25">
      <c r="C144" s="361"/>
      <c r="D144" s="357"/>
      <c r="E144" s="357"/>
      <c r="F144" s="356"/>
      <c r="G144" s="362"/>
      <c r="H144" s="362"/>
      <c r="I144" s="357"/>
      <c r="J144" s="522"/>
      <c r="K144" s="471"/>
      <c r="L144" s="471"/>
      <c r="M144" s="370"/>
      <c r="N144" s="471"/>
      <c r="O144" s="29"/>
      <c r="P144" s="362"/>
      <c r="Q144" s="467"/>
      <c r="R144" s="363"/>
      <c r="U144" s="378"/>
      <c r="Y144" s="15"/>
    </row>
    <row r="145" spans="1:25" ht="12.75">
      <c r="A145" s="24"/>
      <c r="B145" s="120"/>
      <c r="C145" s="390">
        <v>18243</v>
      </c>
      <c r="D145" s="386" t="str">
        <f>VLOOKUP($C145,'DB Link APP'!$A$2:$T$323,2,FALSE)</f>
        <v>2222 Cleburne</v>
      </c>
      <c r="E145" s="386" t="str">
        <f>VLOOKUP($C145,'DB Link APP'!$A$2:$T$323,17,FALSE)</f>
        <v>Ann J. Robison</v>
      </c>
      <c r="F145" s="376" t="str">
        <f>VLOOKUP(C145,'DB Link APP'!$A$3:$U$140,8,FALSE)</f>
        <v>Urban</v>
      </c>
      <c r="G145" s="387"/>
      <c r="H145" s="380"/>
      <c r="I145" s="377" t="s">
        <v>162</v>
      </c>
      <c r="J145" s="520" t="str">
        <f>IF(VLOOKUP($C145,'DB Link APP'!$A$2:$N$149,13,FALSE)="General","",VLOOKUP($C145,'DB Link APP'!$A$2:$N$149,13,FALSE))</f>
        <v>Elderly Limitation</v>
      </c>
      <c r="K145" s="507">
        <f>VLOOKUP($C145,'DB Link APP'!$A$2:$T$323,16,FALSE)</f>
        <v>1500000</v>
      </c>
      <c r="L145" s="485">
        <f>IF(ISNA(VLOOKUP(C145,'UW Rec Amts'!$A$2:$D$112,4,FALSE)),"",VLOOKUP(C145,'UW Rec Amts'!$A$2:$D$112,4,FALSE))</f>
        <v>1500000</v>
      </c>
      <c r="M145" s="385">
        <f>+SUM(L$145:L145)/K$143</f>
        <v>0.11039955678104774</v>
      </c>
      <c r="N145" s="483">
        <f>+IF(M145&lt;=1,L145,0)</f>
        <v>1500000</v>
      </c>
      <c r="O145" s="118"/>
      <c r="P145" s="480"/>
      <c r="Q145" s="468">
        <f>+SUM(N145:P145)</f>
        <v>1500000</v>
      </c>
      <c r="R145" s="380" t="str">
        <f>+IF(N145&gt;0,"I",IF(O145&gt;0,"R",IF(P145&gt;0,"SW","")))</f>
        <v>I</v>
      </c>
      <c r="S145" s="267" t="str">
        <f>IF(VLOOKUP($C145,'REA-PPR'!$A$2:$E$149,3,FALSE)="","",VLOOKUP($C145,'REA-PPR'!$A$2:$E$149,3,FALSE))</f>
        <v/>
      </c>
      <c r="T145" s="15" t="str">
        <f>IF(VLOOKUP(C145,'UW Rec Amts'!A:H,2,FALSE),"C","")</f>
        <v>C</v>
      </c>
      <c r="U145" s="378" t="str">
        <f>IF(VLOOKUP($C145,'REA-PPR'!$A$2:$E$149,5,FALSE)="","No",VLOOKUP($C145,'REA-PPR'!$A$2:$E$149,5,FALSE))</f>
        <v>No</v>
      </c>
      <c r="V145" s="338"/>
      <c r="Y145" s="15"/>
    </row>
    <row r="146" spans="1:25" ht="12.75">
      <c r="A146" s="24"/>
      <c r="B146" s="120"/>
      <c r="C146" s="390">
        <v>18333</v>
      </c>
      <c r="D146" s="386" t="str">
        <f>VLOOKUP($C146,'DB Link APP'!$A$2:$T$323,2,FALSE)</f>
        <v>Fulton Lofts</v>
      </c>
      <c r="E146" s="386" t="str">
        <f>VLOOKUP($C146,'DB Link APP'!$A$2:$T$323,17,FALSE)</f>
        <v>David Mark Koogler</v>
      </c>
      <c r="F146" s="376" t="str">
        <f>VLOOKUP(C146,'DB Link APP'!$A$3:$U$140,8,FALSE)</f>
        <v>Urban</v>
      </c>
      <c r="G146" s="387"/>
      <c r="H146" s="380"/>
      <c r="I146" s="377" t="str">
        <f>IF(VLOOKUP($C146,'DB Link APP'!$A$2:$T$323,11,FALSE)=0,"",VLOOKUP($C146,'DB Link APP'!$A$2:$T$323,11,FALSE))</f>
        <v/>
      </c>
      <c r="J146" s="520" t="str">
        <f>IF(VLOOKUP($C146,'DB Link APP'!$A$2:$N$149,13,FALSE)="General","",VLOOKUP($C146,'DB Link APP'!$A$2:$N$149,13,FALSE))</f>
        <v/>
      </c>
      <c r="K146" s="506">
        <f>VLOOKUP($C146,'DB Link APP'!$A$2:$T$323,16,FALSE)</f>
        <v>1459229.803964287</v>
      </c>
      <c r="L146" s="485">
        <f>IF(ISNA(VLOOKUP(C146,'UW Rec Amts'!$A$2:$D$112,4,FALSE)),"",VLOOKUP(C146,'UW Rec Amts'!$A$2:$D$112,4,FALSE))</f>
        <v>1458549</v>
      </c>
      <c r="M146" s="385">
        <f>+SUM(L$145:L146)/K$143</f>
        <v>0.217748332210008</v>
      </c>
      <c r="N146" s="483">
        <f t="shared" ref="N146:N173" si="24">+IF(M146&lt;=1,L146,0)</f>
        <v>1458549</v>
      </c>
      <c r="O146" s="118"/>
      <c r="P146" s="480"/>
      <c r="Q146" s="468">
        <f>+SUM(N146:P146)</f>
        <v>1458549</v>
      </c>
      <c r="R146" s="380" t="str">
        <f>+IF(N146&gt;0,"I",IF(O146&gt;0,"R",IF(P146&gt;0,"SW","")))</f>
        <v>I</v>
      </c>
      <c r="S146" s="267" t="str">
        <f>IF(VLOOKUP($C146,'REA-PPR'!$A$2:$E$149,3,FALSE)="","",VLOOKUP($C146,'REA-PPR'!$A$2:$E$149,3,FALSE))</f>
        <v/>
      </c>
      <c r="T146" s="15" t="str">
        <f>IF(VLOOKUP(C146,'UW Rec Amts'!A:H,2,FALSE),"C","")</f>
        <v>C</v>
      </c>
      <c r="U146" s="378" t="str">
        <f>IF(VLOOKUP($C146,'REA-PPR'!$A$2:$E$149,5,FALSE)="","No",VLOOKUP($C146,'REA-PPR'!$A$2:$E$149,5,FALSE))</f>
        <v>No</v>
      </c>
      <c r="V146" s="338"/>
      <c r="Y146" s="15"/>
    </row>
    <row r="147" spans="1:25" ht="12.75">
      <c r="A147" s="24"/>
      <c r="B147" s="120"/>
      <c r="C147" s="390">
        <v>18306</v>
      </c>
      <c r="D147" s="386" t="str">
        <f>VLOOKUP($C147,'DB Link APP'!$A$2:$T$323,2,FALSE)</f>
        <v>Campanile on Commerce</v>
      </c>
      <c r="E147" s="386" t="str">
        <f>VLOOKUP($C147,'DB Link APP'!$A$2:$T$323,17,FALSE)</f>
        <v>Les Kilday</v>
      </c>
      <c r="F147" s="376" t="str">
        <f>VLOOKUP(C147,'DB Link APP'!$A$3:$U$140,8,FALSE)</f>
        <v>Urban</v>
      </c>
      <c r="G147" s="387"/>
      <c r="H147" s="380"/>
      <c r="I147" s="377" t="str">
        <f>IF(VLOOKUP($C147,'DB Link APP'!$A$2:$T$323,11,FALSE)=0,"",VLOOKUP($C147,'DB Link APP'!$A$2:$T$323,11,FALSE))</f>
        <v/>
      </c>
      <c r="J147" s="520" t="str">
        <f>IF(VLOOKUP($C147,'DB Link APP'!$A$2:$N$149,13,FALSE)="General","",VLOOKUP($C147,'DB Link APP'!$A$2:$N$149,13,FALSE))</f>
        <v>Elderly Limitation</v>
      </c>
      <c r="K147" s="507">
        <f>VLOOKUP($C147,'DB Link APP'!$A$2:$T$323,16,FALSE)</f>
        <v>1500000</v>
      </c>
      <c r="L147" s="485">
        <f>IF(ISNA(VLOOKUP(C147,'UW Rec Amts'!$A$2:$D$112,4,FALSE)),"",VLOOKUP(C147,'UW Rec Amts'!$A$2:$D$112,4,FALSE))</f>
        <v>1500000</v>
      </c>
      <c r="M147" s="385">
        <f>+SUM(L$145:L147)/K$143</f>
        <v>0.32814788899105574</v>
      </c>
      <c r="N147" s="483">
        <f t="shared" si="24"/>
        <v>1500000</v>
      </c>
      <c r="O147" s="118"/>
      <c r="P147" s="480"/>
      <c r="Q147" s="468">
        <f>+SUM(N147:P147)</f>
        <v>1500000</v>
      </c>
      <c r="R147" s="380" t="str">
        <f>+IF(N147&gt;0,"I",IF(O147&gt;0,"R",IF(P147&gt;0,"SW","")))</f>
        <v>I</v>
      </c>
      <c r="S147" s="267" t="str">
        <f>IF(VLOOKUP($C147,'REA-PPR'!$A$2:$E$149,3,FALSE)="","",VLOOKUP($C147,'REA-PPR'!$A$2:$E$149,3,FALSE))</f>
        <v/>
      </c>
      <c r="T147" s="15" t="str">
        <f>IF(VLOOKUP(C147,'UW Rec Amts'!A:H,2,FALSE),"C","")</f>
        <v>C</v>
      </c>
      <c r="U147" s="378" t="str">
        <f>IF(VLOOKUP($C147,'REA-PPR'!$A$2:$E$149,5,FALSE)="","No",VLOOKUP($C147,'REA-PPR'!$A$2:$E$149,5,FALSE))</f>
        <v>No</v>
      </c>
      <c r="V147" s="338"/>
      <c r="Y147" s="15"/>
    </row>
    <row r="148" spans="1:25" ht="12.75">
      <c r="A148" s="24"/>
      <c r="B148" s="120"/>
      <c r="C148" s="390">
        <v>18137</v>
      </c>
      <c r="D148" s="386" t="str">
        <f>VLOOKUP($C148,'DB Link APP'!$A$2:$T$323,2,FALSE)</f>
        <v>New Hope Housing Dale Carnegie</v>
      </c>
      <c r="E148" s="386" t="str">
        <f>VLOOKUP($C148,'DB Link APP'!$A$2:$T$323,17,FALSE)</f>
        <v>Joy Horak-Brown</v>
      </c>
      <c r="F148" s="376" t="str">
        <f>VLOOKUP(C148,'DB Link APP'!$A$3:$U$140,8,FALSE)</f>
        <v>Urban</v>
      </c>
      <c r="G148" s="387"/>
      <c r="H148" s="380"/>
      <c r="I148" s="377" t="s">
        <v>162</v>
      </c>
      <c r="J148" s="520" t="str">
        <f>IF(VLOOKUP($C148,'DB Link APP'!$A$2:$N$149,13,FALSE)="General","",VLOOKUP($C148,'DB Link APP'!$A$2:$N$149,13,FALSE))</f>
        <v>Supportive Housing</v>
      </c>
      <c r="K148" s="506">
        <f>VLOOKUP($C148,'DB Link APP'!$A$2:$T$323,16,FALSE)</f>
        <v>1500000</v>
      </c>
      <c r="L148" s="485">
        <f>IF(ISNA(VLOOKUP(C148,'UW Rec Amts'!$A$2:$D$112,4,FALSE)),"",VLOOKUP(C148,'UW Rec Amts'!$A$2:$D$112,4,FALSE))</f>
        <v>1500000</v>
      </c>
      <c r="M148" s="385">
        <f>+SUM(L$145:L148)/K$143</f>
        <v>0.43854744577210347</v>
      </c>
      <c r="N148" s="483">
        <f t="shared" si="24"/>
        <v>1500000</v>
      </c>
      <c r="O148" s="118"/>
      <c r="P148" s="480"/>
      <c r="Q148" s="468">
        <v>1500000</v>
      </c>
      <c r="R148" s="380" t="s">
        <v>710</v>
      </c>
      <c r="S148" s="267" t="str">
        <f>IF(VLOOKUP($C148,'REA-PPR'!$A$2:$E$149,3,FALSE)="","",VLOOKUP($C148,'REA-PPR'!$A$2:$E$149,3,FALSE))</f>
        <v/>
      </c>
      <c r="T148" s="15" t="str">
        <f>IF(VLOOKUP(C148,'UW Rec Amts'!A:H,2,FALSE),"C","")</f>
        <v>C</v>
      </c>
      <c r="U148" s="378" t="str">
        <f>IF(VLOOKUP($C148,'REA-PPR'!$A$2:$E$149,5,FALSE)="","No",VLOOKUP($C148,'REA-PPR'!$A$2:$E$149,5,FALSE))</f>
        <v>No</v>
      </c>
      <c r="V148" s="338"/>
      <c r="Y148" s="15"/>
    </row>
    <row r="149" spans="1:25" ht="12.75">
      <c r="C149" s="390">
        <v>18254</v>
      </c>
      <c r="D149" s="386" t="str">
        <f>VLOOKUP($C149,'DB Link APP'!$A$2:$T$323,2,FALSE)</f>
        <v>Somerset Lofts</v>
      </c>
      <c r="E149" s="386" t="str">
        <f>VLOOKUP($C149,'DB Link APP'!$A$2:$T$323,17,FALSE)</f>
        <v>Donna Rickenbacker</v>
      </c>
      <c r="F149" s="376" t="str">
        <f>VLOOKUP(C149,'DB Link APP'!$A$3:$U$140,8,FALSE)</f>
        <v>Urban</v>
      </c>
      <c r="G149" s="387"/>
      <c r="H149" s="380"/>
      <c r="I149" s="377" t="str">
        <f>IF(VLOOKUP($C149,'DB Link APP'!$A$2:$T$323,11,FALSE)=0,"",VLOOKUP($C149,'DB Link APP'!$A$2:$T$323,11,FALSE))</f>
        <v/>
      </c>
      <c r="J149" s="520" t="str">
        <f>IF(VLOOKUP($C149,'DB Link APP'!$A$2:$N$149,13,FALSE)="General","",VLOOKUP($C149,'DB Link APP'!$A$2:$N$149,13,FALSE))</f>
        <v/>
      </c>
      <c r="K149" s="506">
        <f>VLOOKUP($C149,'DB Link APP'!$A$2:$T$323,16,FALSE)</f>
        <v>1500000</v>
      </c>
      <c r="L149" s="485">
        <f>IF(ISNA(VLOOKUP(C149,'UW Rec Amts'!$A$2:$D$112,4,FALSE)),"",VLOOKUP(C149,'UW Rec Amts'!$A$2:$D$112,4,FALSE))</f>
        <v>1500000</v>
      </c>
      <c r="M149" s="385">
        <f>+SUM(L$145:L149)/K$143</f>
        <v>0.54894700255315121</v>
      </c>
      <c r="N149" s="483">
        <f t="shared" si="24"/>
        <v>1500000</v>
      </c>
      <c r="O149" s="116"/>
      <c r="P149" s="480"/>
      <c r="Q149" s="468">
        <f>+SUM(N149:P149)</f>
        <v>1500000</v>
      </c>
      <c r="R149" s="380" t="s">
        <v>710</v>
      </c>
      <c r="S149" s="267" t="str">
        <f>IF(VLOOKUP($C149,'REA-PPR'!$A$2:$E$149,3,FALSE)="","",VLOOKUP($C149,'REA-PPR'!$A$2:$E$149,3,FALSE))</f>
        <v/>
      </c>
      <c r="T149" s="15" t="str">
        <f>IF(VLOOKUP(C149,'UW Rec Amts'!A:H,2,FALSE),"C","")</f>
        <v>C</v>
      </c>
      <c r="U149" s="378" t="str">
        <f>IF(VLOOKUP($C149,'REA-PPR'!$A$2:$E$149,5,FALSE)="","No",VLOOKUP($C149,'REA-PPR'!$A$2:$E$149,5,FALSE))</f>
        <v>No</v>
      </c>
      <c r="Y149" s="15"/>
    </row>
    <row r="150" spans="1:25" ht="12.75">
      <c r="A150" s="24"/>
      <c r="B150" s="120"/>
      <c r="C150" s="390">
        <v>18138</v>
      </c>
      <c r="D150" s="386" t="str">
        <f>VLOOKUP($C150,'DB Link APP'!$A$2:$T$323,2,FALSE)</f>
        <v>Lancaster Senior Village</v>
      </c>
      <c r="E150" s="386" t="str">
        <f>VLOOKUP($C150,'DB Link APP'!$A$2:$T$323,17,FALSE)</f>
        <v>Doak Brown</v>
      </c>
      <c r="F150" s="376" t="str">
        <f>VLOOKUP(C150,'DB Link APP'!$A$3:$U$140,8,FALSE)</f>
        <v>Urban</v>
      </c>
      <c r="G150" s="387"/>
      <c r="H150" s="380"/>
      <c r="I150" s="377" t="str">
        <f>IF(VLOOKUP($C150,'DB Link APP'!$A$2:$T$323,11,FALSE)=0,"",VLOOKUP($C150,'DB Link APP'!$A$2:$T$323,11,FALSE))</f>
        <v/>
      </c>
      <c r="J150" s="520" t="str">
        <f>IF(VLOOKUP($C150,'DB Link APP'!$A$2:$N$149,13,FALSE)="General","",VLOOKUP($C150,'DB Link APP'!$A$2:$N$149,13,FALSE))</f>
        <v>Elderly Limitation</v>
      </c>
      <c r="K150" s="507">
        <f>VLOOKUP($C150,'DB Link APP'!$A$2:$T$323,16,FALSE)</f>
        <v>1500000</v>
      </c>
      <c r="L150" s="485">
        <f>IF(ISNA(VLOOKUP(C150,'UW Rec Amts'!$A$2:$D$112,4,FALSE)),"",VLOOKUP(C150,'UW Rec Amts'!$A$2:$D$112,4,FALSE))</f>
        <v>1500000</v>
      </c>
      <c r="M150" s="385">
        <f>+SUM(L$145:L150)/K$143</f>
        <v>0.65934655933419895</v>
      </c>
      <c r="N150" s="483">
        <f t="shared" si="24"/>
        <v>1500000</v>
      </c>
      <c r="O150" s="116"/>
      <c r="P150" s="480"/>
      <c r="Q150" s="468">
        <f>+SUM(N150:P150)</f>
        <v>1500000</v>
      </c>
      <c r="R150" s="380" t="s">
        <v>710</v>
      </c>
      <c r="S150" s="267" t="str">
        <f>IF(VLOOKUP($C150,'REA-PPR'!$A$2:$E$149,3,FALSE)="","",VLOOKUP($C150,'REA-PPR'!$A$2:$E$149,3,FALSE))</f>
        <v/>
      </c>
      <c r="T150" s="15" t="str">
        <f>IF(VLOOKUP(C150,'UW Rec Amts'!A:H,2,FALSE),"C","")</f>
        <v>C</v>
      </c>
      <c r="U150" s="378" t="str">
        <f>IF(VLOOKUP($C150,'REA-PPR'!$A$2:$E$149,5,FALSE)="","No",VLOOKUP($C150,'REA-PPR'!$A$2:$E$149,5,FALSE))</f>
        <v>No</v>
      </c>
      <c r="V150" s="338"/>
      <c r="Y150" s="15"/>
    </row>
    <row r="151" spans="1:25" ht="12.75">
      <c r="A151" s="24"/>
      <c r="B151" s="120"/>
      <c r="C151" s="390">
        <v>18320</v>
      </c>
      <c r="D151" s="386" t="str">
        <f>VLOOKUP($C151,'DB Link APP'!$A$2:$T$323,2,FALSE)</f>
        <v>Seaside Lodge at Chesapeake Bay</v>
      </c>
      <c r="E151" s="386" t="str">
        <f>VLOOKUP($C151,'DB Link APP'!$A$2:$T$323,17,FALSE)</f>
        <v>David Mark Koogler</v>
      </c>
      <c r="F151" s="376" t="str">
        <f>VLOOKUP(C151,'DB Link APP'!$A$3:$U$140,8,FALSE)</f>
        <v>Urban</v>
      </c>
      <c r="G151" s="387"/>
      <c r="H151" s="380"/>
      <c r="I151" s="377" t="str">
        <f>IF(VLOOKUP($C151,'DB Link APP'!$A$2:$T$323,11,FALSE)=0,"",VLOOKUP($C151,'DB Link APP'!$A$2:$T$323,11,FALSE))</f>
        <v/>
      </c>
      <c r="J151" s="520" t="str">
        <f>IF(VLOOKUP($C151,'DB Link APP'!$A$2:$N$149,13,FALSE)="General","",VLOOKUP($C151,'DB Link APP'!$A$2:$N$149,13,FALSE))</f>
        <v>Elderly Limitation</v>
      </c>
      <c r="K151" s="507">
        <f>VLOOKUP($C151,'DB Link APP'!$A$2:$T$323,16,FALSE)</f>
        <v>0</v>
      </c>
      <c r="L151" s="485">
        <v>0</v>
      </c>
      <c r="M151" s="385">
        <f>+SUM(L$145:L151)/K$143</f>
        <v>0.65934655933419895</v>
      </c>
      <c r="N151" s="483">
        <f t="shared" si="24"/>
        <v>0</v>
      </c>
      <c r="O151" s="116"/>
      <c r="P151" s="480"/>
      <c r="Q151" s="468">
        <v>0</v>
      </c>
      <c r="R151" s="380" t="str">
        <f t="shared" ref="R151:R172" si="25">+IF(N151&gt;0,"I",IF(O151&gt;0,"R",IF(P151&gt;0,"SW","")))</f>
        <v/>
      </c>
      <c r="S151" s="267" t="str">
        <f>IF(VLOOKUP($C151,'REA-PPR'!$A$2:$E$149,3,FALSE)="","",VLOOKUP($C151,'REA-PPR'!$A$2:$E$149,3,FALSE))</f>
        <v/>
      </c>
      <c r="T151" s="15" t="str">
        <f>IF(VLOOKUP(C151,'UW Rec Amts'!A:H,2,FALSE),"C","")</f>
        <v/>
      </c>
      <c r="U151" s="378" t="str">
        <f>IF(VLOOKUP($C151,'REA-PPR'!$A$2:$E$149,5,FALSE)="","No",VLOOKUP($C151,'REA-PPR'!$A$2:$E$149,5,FALSE))</f>
        <v>No</v>
      </c>
      <c r="V151" s="338"/>
      <c r="Y151" s="15"/>
    </row>
    <row r="152" spans="1:25" ht="12.75">
      <c r="A152" s="24"/>
      <c r="B152" s="120"/>
      <c r="C152" s="390">
        <v>18033</v>
      </c>
      <c r="D152" s="386" t="str">
        <f>VLOOKUP($C152,'DB Link APP'!$A$2:$T$323,2,FALSE)</f>
        <v>The Miramonte</v>
      </c>
      <c r="E152" s="386" t="str">
        <f>VLOOKUP($C152,'DB Link APP'!$A$2:$T$323,17,FALSE)</f>
        <v>Mark Musemeche</v>
      </c>
      <c r="F152" s="376" t="str">
        <f>VLOOKUP(C152,'DB Link APP'!$A$3:$U$140,8,FALSE)</f>
        <v>Urban</v>
      </c>
      <c r="G152" s="387"/>
      <c r="H152" s="380"/>
      <c r="I152" s="377" t="str">
        <f>IF(VLOOKUP($C152,'DB Link APP'!$A$2:$T$323,11,FALSE)=0,"",VLOOKUP($C152,'DB Link APP'!$A$2:$T$323,11,FALSE))</f>
        <v/>
      </c>
      <c r="J152" s="520" t="str">
        <f>IF(VLOOKUP($C152,'DB Link APP'!$A$2:$N$149,13,FALSE)="General","",VLOOKUP($C152,'DB Link APP'!$A$2:$N$149,13,FALSE))</f>
        <v/>
      </c>
      <c r="K152" s="506">
        <f>VLOOKUP($C152,'DB Link APP'!$A$2:$T$323,16,FALSE)</f>
        <v>1286253</v>
      </c>
      <c r="L152" s="485">
        <f>IF(ISNA(VLOOKUP(C152,'UW Rec Amts'!$A$2:$D$112,4,FALSE)),"",VLOOKUP(C152,'UW Rec Amts'!$A$2:$D$112,4,FALSE))</f>
        <v>1286253</v>
      </c>
      <c r="M152" s="385">
        <f>+SUM(L$145:L152)/K$143</f>
        <v>0.75401440007306098</v>
      </c>
      <c r="N152" s="483">
        <f t="shared" si="24"/>
        <v>1286253</v>
      </c>
      <c r="O152" s="116"/>
      <c r="P152" s="480"/>
      <c r="Q152" s="468">
        <f>+SUM(N152:P152)</f>
        <v>1286253</v>
      </c>
      <c r="R152" s="380" t="str">
        <f>+IF(N152&gt;0,"I",IF(O152&gt;0,"R",IF(P152&gt;0,"SW","")))</f>
        <v>I</v>
      </c>
      <c r="S152" s="267" t="str">
        <f>IF(VLOOKUP($C152,'REA-PPR'!$A$2:$E$149,3,FALSE)="","",VLOOKUP($C152,'REA-PPR'!$A$2:$E$149,3,FALSE))</f>
        <v/>
      </c>
      <c r="T152" s="15" t="str">
        <f>IF(VLOOKUP(C152,'UW Rec Amts'!A:H,2,FALSE),"C","")</f>
        <v>C</v>
      </c>
      <c r="U152" s="378" t="str">
        <f>IF(VLOOKUP($C152,'REA-PPR'!$A$2:$E$149,5,FALSE)="","No",VLOOKUP($C152,'REA-PPR'!$A$2:$E$149,5,FALSE))</f>
        <v>No</v>
      </c>
      <c r="V152" s="280"/>
      <c r="Y152" s="15"/>
    </row>
    <row r="153" spans="1:25" ht="12.75">
      <c r="A153" s="24"/>
      <c r="B153" s="120"/>
      <c r="C153" s="390">
        <v>18047</v>
      </c>
      <c r="D153" s="386" t="str">
        <f>VLOOKUP($C153,'DB Link APP'!$A$2:$T$323,2,FALSE)</f>
        <v>Miramonte Single Living</v>
      </c>
      <c r="E153" s="386" t="str">
        <f>VLOOKUP($C153,'DB Link APP'!$A$2:$T$323,17,FALSE)</f>
        <v>Mark Musemeche</v>
      </c>
      <c r="F153" s="376" t="str">
        <f>VLOOKUP(C153,'DB Link APP'!$A$3:$U$140,8,FALSE)</f>
        <v>Urban</v>
      </c>
      <c r="G153" s="387"/>
      <c r="H153" s="380"/>
      <c r="I153" s="377" t="str">
        <f>IF(VLOOKUP($C153,'DB Link APP'!$A$2:$T$323,11,FALSE)=0,"",VLOOKUP($C153,'DB Link APP'!$A$2:$T$323,11,FALSE))</f>
        <v/>
      </c>
      <c r="J153" s="520" t="str">
        <f>IF(VLOOKUP($C153,'DB Link APP'!$A$2:$N$149,13,FALSE)="General","",VLOOKUP($C153,'DB Link APP'!$A$2:$N$149,13,FALSE))</f>
        <v/>
      </c>
      <c r="K153" s="506">
        <f>VLOOKUP($C153,'DB Link APP'!$A$2:$T$323,16,FALSE)</f>
        <v>1500000</v>
      </c>
      <c r="L153" s="485">
        <f>IF(ISNA(VLOOKUP(C153,'UW Rec Amts'!$A$2:$D$112,4,FALSE)),"",VLOOKUP(C153,'UW Rec Amts'!$A$2:$D$112,4,FALSE))</f>
        <v>1500000</v>
      </c>
      <c r="M153" s="385">
        <f>+SUM(L$145:L153)/K$143</f>
        <v>0.86441395685410871</v>
      </c>
      <c r="N153" s="483">
        <f t="shared" si="24"/>
        <v>1500000</v>
      </c>
      <c r="O153" s="116"/>
      <c r="P153" s="480"/>
      <c r="Q153" s="468">
        <f t="shared" ref="Q153:Q159" si="26">+SUM(N153:P153)</f>
        <v>1500000</v>
      </c>
      <c r="R153" s="380" t="str">
        <f t="shared" si="25"/>
        <v>I</v>
      </c>
      <c r="S153" s="267" t="str">
        <f>IF(VLOOKUP($C153,'REA-PPR'!$A$2:$E$149,3,FALSE)="","",VLOOKUP($C153,'REA-PPR'!$A$2:$E$149,3,FALSE))</f>
        <v/>
      </c>
      <c r="T153" s="15" t="str">
        <f>IF(VLOOKUP(C153,'UW Rec Amts'!A:H,2,FALSE),"C","")</f>
        <v>C</v>
      </c>
      <c r="U153" s="378" t="str">
        <f>IF(VLOOKUP($C153,'REA-PPR'!$A$2:$E$149,5,FALSE)="","No",VLOOKUP($C153,'REA-PPR'!$A$2:$E$149,5,FALSE))</f>
        <v>No</v>
      </c>
      <c r="V153" s="280"/>
      <c r="Y153" s="15"/>
    </row>
    <row r="154" spans="1:25" ht="12.75">
      <c r="A154" s="24"/>
      <c r="B154" s="120"/>
      <c r="C154" s="390">
        <v>18043</v>
      </c>
      <c r="D154" s="391" t="str">
        <f>VLOOKUP($C154,'DB Link APP'!$A$2:$T$323,2,FALSE)</f>
        <v>Huntington at Miramonte</v>
      </c>
      <c r="E154" s="391" t="str">
        <f>VLOOKUP($C154,'DB Link APP'!$A$2:$T$323,17,FALSE)</f>
        <v>Hunter Goodwin</v>
      </c>
      <c r="F154" s="391" t="str">
        <f>VLOOKUP(C154,'DB Link APP'!$A$3:$U$140,8,FALSE)</f>
        <v>Urban</v>
      </c>
      <c r="G154" s="392"/>
      <c r="H154" s="393"/>
      <c r="I154" s="394" t="str">
        <f>IF(VLOOKUP($C154,'DB Link APP'!$A$2:$T$323,11,FALSE)=0,"",VLOOKUP($C154,'DB Link APP'!$A$2:$T$323,11,FALSE))</f>
        <v/>
      </c>
      <c r="J154" s="520" t="str">
        <f>IF(VLOOKUP($C154,'DB Link APP'!$A$2:$N$149,13,FALSE)="General","",VLOOKUP($C154,'DB Link APP'!$A$2:$N$149,13,FALSE))</f>
        <v>Elderly Limitation</v>
      </c>
      <c r="K154" s="507">
        <f>VLOOKUP($C154,'DB Link APP'!$A$2:$T$323,16,FALSE)</f>
        <v>1500000</v>
      </c>
      <c r="L154" s="499">
        <v>0</v>
      </c>
      <c r="M154" s="385">
        <f>+SUM(L$145:L154)/K$143</f>
        <v>0.86441395685410871</v>
      </c>
      <c r="N154" s="483">
        <f t="shared" si="24"/>
        <v>0</v>
      </c>
      <c r="O154" s="116"/>
      <c r="P154" s="480"/>
      <c r="Q154" s="468">
        <f t="shared" si="26"/>
        <v>0</v>
      </c>
      <c r="R154" s="380" t="str">
        <f t="shared" si="25"/>
        <v/>
      </c>
      <c r="S154" s="267" t="str">
        <f>IF(VLOOKUP($C154,'REA-PPR'!$A$2:$E$149,3,FALSE)="","",VLOOKUP($C154,'REA-PPR'!$A$2:$E$149,3,FALSE))</f>
        <v/>
      </c>
      <c r="T154" s="15" t="str">
        <f>IF(VLOOKUP(C154,'UW Rec Amts'!A:H,2,FALSE),"C","")</f>
        <v>C</v>
      </c>
      <c r="U154" s="378" t="str">
        <f>IF(VLOOKUP($C154,'REA-PPR'!$A$2:$E$149,5,FALSE)="","No",VLOOKUP($C154,'REA-PPR'!$A$2:$E$149,5,FALSE))</f>
        <v>No</v>
      </c>
      <c r="V154" s="89"/>
      <c r="Y154" s="15"/>
    </row>
    <row r="155" spans="1:25" ht="12.75">
      <c r="A155" s="24"/>
      <c r="B155" s="120"/>
      <c r="C155" s="390">
        <v>18159</v>
      </c>
      <c r="D155" s="386" t="str">
        <f>VLOOKUP($C155,'DB Link APP'!$A$2:$T$323,2,FALSE)</f>
        <v>Rutherford Park</v>
      </c>
      <c r="E155" s="386" t="str">
        <f>VLOOKUP($C155,'DB Link APP'!$A$2:$T$323,17,FALSE)</f>
        <v>J. Steve Ford</v>
      </c>
      <c r="F155" s="376" t="str">
        <f>VLOOKUP(C155,'DB Link APP'!$A$3:$U$140,8,FALSE)</f>
        <v>Urban</v>
      </c>
      <c r="G155" s="387"/>
      <c r="H155" s="380"/>
      <c r="I155" s="377" t="str">
        <f>IF(VLOOKUP($C155,'DB Link APP'!$A$2:$T$323,11,FALSE)=0,"",VLOOKUP($C155,'DB Link APP'!$A$2:$T$323,11,FALSE))</f>
        <v/>
      </c>
      <c r="J155" s="520" t="str">
        <f>IF(VLOOKUP($C155,'DB Link APP'!$A$2:$N$149,13,FALSE)="General","",VLOOKUP($C155,'DB Link APP'!$A$2:$N$149,13,FALSE))</f>
        <v/>
      </c>
      <c r="K155" s="506">
        <f>VLOOKUP($C155,'DB Link APP'!$A$2:$T$323,16,FALSE)</f>
        <v>1500000</v>
      </c>
      <c r="L155" s="485">
        <f>IF(ISNA(VLOOKUP(C155,'UW Rec Amts'!$A$2:$D$112,4,FALSE)),"",VLOOKUP(C155,'UW Rec Amts'!$A$2:$D$112,4,FALSE))</f>
        <v>1500000</v>
      </c>
      <c r="M155" s="385">
        <f>+SUM(L$145:L155)/K$143</f>
        <v>0.97481351363515645</v>
      </c>
      <c r="N155" s="483">
        <f t="shared" si="24"/>
        <v>1500000</v>
      </c>
      <c r="O155" s="116"/>
      <c r="P155" s="480"/>
      <c r="Q155" s="468">
        <f>+SUM(N155:P155)</f>
        <v>1500000</v>
      </c>
      <c r="R155" s="380" t="str">
        <f t="shared" si="25"/>
        <v>I</v>
      </c>
      <c r="S155" s="267" t="str">
        <f>IF(VLOOKUP($C155,'REA-PPR'!$A$2:$E$149,3,FALSE)="","",VLOOKUP($C155,'REA-PPR'!$A$2:$E$149,3,FALSE))</f>
        <v/>
      </c>
      <c r="T155" s="15" t="str">
        <f>IF(VLOOKUP(C155,'UW Rec Amts'!A:H,2,FALSE),"C","")</f>
        <v>C</v>
      </c>
      <c r="U155" s="378" t="str">
        <f>IF(VLOOKUP($C155,'REA-PPR'!$A$2:$E$149,5,FALSE)="","No",VLOOKUP($C155,'REA-PPR'!$A$2:$E$149,5,FALSE))</f>
        <v>No</v>
      </c>
      <c r="V155" s="283"/>
      <c r="Y155" s="15"/>
    </row>
    <row r="156" spans="1:25" ht="12.75">
      <c r="A156" s="24"/>
      <c r="B156" s="120"/>
      <c r="C156" s="390">
        <v>18339</v>
      </c>
      <c r="D156" s="391" t="str">
        <f>VLOOKUP($C156,'DB Link APP'!$A$2:$T$323,2,FALSE)</f>
        <v>Fairmont Seniors</v>
      </c>
      <c r="E156" s="391" t="str">
        <f>VLOOKUP($C156,'DB Link APP'!$A$2:$T$323,17,FALSE)</f>
        <v>Nathan Kelley</v>
      </c>
      <c r="F156" s="391" t="str">
        <f>VLOOKUP(C156,'DB Link APP'!$A$3:$U$140,8,FALSE)</f>
        <v>Urban</v>
      </c>
      <c r="G156" s="392"/>
      <c r="H156" s="393"/>
      <c r="I156" s="394"/>
      <c r="J156" s="520" t="str">
        <f>IF(VLOOKUP($C156,'DB Link APP'!$A$2:$N$149,13,FALSE)="General","",VLOOKUP($C156,'DB Link APP'!$A$2:$N$149,13,FALSE))</f>
        <v>Elderly Limitation</v>
      </c>
      <c r="K156" s="507">
        <f>VLOOKUP($C156,'DB Link APP'!$A$2:$T$323,16,FALSE)</f>
        <v>1499877</v>
      </c>
      <c r="L156" s="499">
        <v>0</v>
      </c>
      <c r="M156" s="385">
        <f>+SUM(L$145:L156)/K$143</f>
        <v>0.97481351363515645</v>
      </c>
      <c r="N156" s="483">
        <f t="shared" si="24"/>
        <v>0</v>
      </c>
      <c r="O156" s="116"/>
      <c r="P156" s="480"/>
      <c r="Q156" s="468">
        <f t="shared" si="26"/>
        <v>0</v>
      </c>
      <c r="R156" s="380" t="str">
        <f t="shared" si="25"/>
        <v/>
      </c>
      <c r="S156" s="267" t="str">
        <f>IF(VLOOKUP($C156,'REA-PPR'!$A$2:$E$149,3,FALSE)="","",VLOOKUP($C156,'REA-PPR'!$A$2:$E$149,3,FALSE))</f>
        <v/>
      </c>
      <c r="T156" s="15" t="str">
        <f>IF(VLOOKUP(C156,'UW Rec Amts'!A:H,2,FALSE),"C","")</f>
        <v>C</v>
      </c>
      <c r="U156" s="378" t="str">
        <f>IF(VLOOKUP($C156,'REA-PPR'!$A$2:$E$149,5,FALSE)="","No",VLOOKUP($C156,'REA-PPR'!$A$2:$E$149,5,FALSE))</f>
        <v>No</v>
      </c>
      <c r="V156" s="338"/>
      <c r="Y156" s="15"/>
    </row>
    <row r="157" spans="1:25" ht="12.75">
      <c r="A157" s="24"/>
      <c r="B157" s="120"/>
      <c r="C157" s="390">
        <v>18009</v>
      </c>
      <c r="D157" s="391" t="str">
        <f>VLOOKUP($C157,'DB Link APP'!$A$2:$T$323,2,FALSE)</f>
        <v>Rosemount Estates</v>
      </c>
      <c r="E157" s="391" t="str">
        <f>VLOOKUP($C157,'DB Link APP'!$A$2:$T$323,17,FALSE)</f>
        <v>Ryan Hettig</v>
      </c>
      <c r="F157" s="391" t="str">
        <f>VLOOKUP(C157,'DB Link APP'!$A$3:$U$140,8,FALSE)</f>
        <v>Urban</v>
      </c>
      <c r="G157" s="392"/>
      <c r="H157" s="393"/>
      <c r="I157" s="394" t="str">
        <f>IF(VLOOKUP($C157,'DB Link APP'!$A$2:$T$323,11,FALSE)=0,"",VLOOKUP($C157,'DB Link APP'!$A$2:$T$323,11,FALSE))</f>
        <v/>
      </c>
      <c r="J157" s="520" t="str">
        <f>IF(VLOOKUP($C157,'DB Link APP'!$A$2:$N$149,13,FALSE)="General","",VLOOKUP($C157,'DB Link APP'!$A$2:$N$149,13,FALSE))</f>
        <v>Elderly Limitation</v>
      </c>
      <c r="K157" s="507">
        <f>VLOOKUP($C157,'DB Link APP'!$A$2:$T$323,16,FALSE)</f>
        <v>1499877</v>
      </c>
      <c r="L157" s="499"/>
      <c r="M157" s="385">
        <f>+SUM(L$145:L157)/K$143</f>
        <v>0.97481351363515645</v>
      </c>
      <c r="N157" s="483">
        <f t="shared" si="24"/>
        <v>0</v>
      </c>
      <c r="O157" s="116"/>
      <c r="P157" s="480"/>
      <c r="Q157" s="468">
        <f>+SUM(N157:P157)</f>
        <v>0</v>
      </c>
      <c r="R157" s="380" t="str">
        <f t="shared" si="25"/>
        <v/>
      </c>
      <c r="S157" s="267" t="str">
        <f>IF(VLOOKUP($C157,'REA-PPR'!$A$2:$E$149,3,FALSE)="","",VLOOKUP($C157,'REA-PPR'!$A$2:$E$149,3,FALSE))</f>
        <v/>
      </c>
      <c r="T157" s="15" t="str">
        <f>IF(VLOOKUP(C157,'UW Rec Amts'!A:H,2,FALSE),"C","")</f>
        <v>C</v>
      </c>
      <c r="U157" s="378" t="str">
        <f>IF(VLOOKUP($C157,'REA-PPR'!$A$2:$E$149,5,FALSE)="","No",VLOOKUP($C157,'REA-PPR'!$A$2:$E$149,5,FALSE))</f>
        <v>No</v>
      </c>
      <c r="V157" s="280"/>
      <c r="Y157" s="15"/>
    </row>
    <row r="158" spans="1:25" ht="12.75">
      <c r="A158" s="24"/>
      <c r="B158" s="120"/>
      <c r="C158" s="390">
        <v>18161</v>
      </c>
      <c r="D158" s="391" t="str">
        <f>VLOOKUP($C158,'DB Link APP'!$A$2:$T$323,2,FALSE)</f>
        <v>Monroe Crossing</v>
      </c>
      <c r="E158" s="391" t="str">
        <f>VLOOKUP($C158,'DB Link APP'!$A$2:$T$323,17,FALSE)</f>
        <v>William D. Henson</v>
      </c>
      <c r="F158" s="391" t="str">
        <f>VLOOKUP(C158,'DB Link APP'!$A$3:$U$140,8,FALSE)</f>
        <v>Urban</v>
      </c>
      <c r="G158" s="392"/>
      <c r="H158" s="393"/>
      <c r="I158" s="394" t="str">
        <f>IF(VLOOKUP($C158,'DB Link APP'!$A$2:$T$323,11,FALSE)=0,"",VLOOKUP($C158,'DB Link APP'!$A$2:$T$323,11,FALSE))</f>
        <v/>
      </c>
      <c r="J158" s="520" t="str">
        <f>IF(VLOOKUP($C158,'DB Link APP'!$A$2:$N$149,13,FALSE)="General","",VLOOKUP($C158,'DB Link APP'!$A$2:$N$149,13,FALSE))</f>
        <v>Elderly Limitation</v>
      </c>
      <c r="K158" s="507">
        <f>VLOOKUP($C158,'DB Link APP'!$A$2:$T$323,16,FALSE)</f>
        <v>1500000</v>
      </c>
      <c r="L158" s="499">
        <v>0</v>
      </c>
      <c r="M158" s="385">
        <f>+SUM(L$145:L158)/K$143</f>
        <v>0.97481351363515645</v>
      </c>
      <c r="N158" s="483">
        <f t="shared" si="24"/>
        <v>0</v>
      </c>
      <c r="O158" s="116"/>
      <c r="P158" s="480"/>
      <c r="Q158" s="468">
        <f t="shared" si="26"/>
        <v>0</v>
      </c>
      <c r="R158" s="380" t="str">
        <f t="shared" si="25"/>
        <v/>
      </c>
      <c r="S158" s="267" t="str">
        <f>IF(VLOOKUP($C158,'REA-PPR'!$A$2:$E$149,3,FALSE)="","",VLOOKUP($C158,'REA-PPR'!$A$2:$E$149,3,FALSE))</f>
        <v/>
      </c>
      <c r="T158" s="15" t="str">
        <f>IF(VLOOKUP(C158,'UW Rec Amts'!A:H,2,FALSE),"C","")</f>
        <v>C</v>
      </c>
      <c r="U158" s="378" t="str">
        <f>IF(VLOOKUP($C158,'REA-PPR'!$A$2:$E$149,5,FALSE)="","No",VLOOKUP($C158,'REA-PPR'!$A$2:$E$149,5,FALSE))</f>
        <v>No</v>
      </c>
      <c r="V158" s="338"/>
      <c r="Y158" s="15"/>
    </row>
    <row r="159" spans="1:25" ht="12.75">
      <c r="A159" s="24"/>
      <c r="B159" s="120"/>
      <c r="C159" s="390">
        <v>18355</v>
      </c>
      <c r="D159" s="386" t="str">
        <f>VLOOKUP($C159,'DB Link APP'!$A$2:$T$323,2,FALSE)</f>
        <v xml:space="preserve">W. Little York Apartments </v>
      </c>
      <c r="E159" s="386" t="str">
        <f>VLOOKUP($C159,'DB Link APP'!$A$2:$T$323,17,FALSE)</f>
        <v>Nathan Kelley</v>
      </c>
      <c r="F159" s="376" t="str">
        <f>VLOOKUP(C159,'DB Link APP'!$A$3:$U$140,8,FALSE)</f>
        <v>Urban</v>
      </c>
      <c r="G159" s="387"/>
      <c r="H159" s="380"/>
      <c r="I159" s="377"/>
      <c r="J159" s="520" t="str">
        <f>IF(VLOOKUP($C159,'DB Link APP'!$A$2:$N$149,13,FALSE)="General","",VLOOKUP($C159,'DB Link APP'!$A$2:$N$149,13,FALSE))</f>
        <v/>
      </c>
      <c r="K159" s="506">
        <f>VLOOKUP($C159,'DB Link APP'!$A$2:$T$323,16,FALSE)</f>
        <v>1500000</v>
      </c>
      <c r="L159" s="485">
        <f>IF(ISNA(VLOOKUP(C159,'UW Rec Amts'!$A$2:$D$112,4,FALSE)),"",VLOOKUP(C159,'UW Rec Amts'!$A$2:$D$112,4,FALSE))</f>
        <v>1500000</v>
      </c>
      <c r="M159" s="385">
        <f>+SUM(L$145:L159)/K$143</f>
        <v>1.0852130704162042</v>
      </c>
      <c r="N159" s="483">
        <f t="shared" si="24"/>
        <v>0</v>
      </c>
      <c r="O159" s="116"/>
      <c r="P159" s="480"/>
      <c r="Q159" s="468">
        <f t="shared" si="26"/>
        <v>0</v>
      </c>
      <c r="R159" s="380" t="str">
        <f t="shared" si="25"/>
        <v/>
      </c>
      <c r="S159" s="267" t="str">
        <f>IF(VLOOKUP($C159,'REA-PPR'!$A$2:$E$149,3,FALSE)="","",VLOOKUP($C159,'REA-PPR'!$A$2:$E$149,3,FALSE))</f>
        <v/>
      </c>
      <c r="T159" s="15" t="str">
        <f>IF(VLOOKUP(C159,'UW Rec Amts'!A:H,2,FALSE),"C","")</f>
        <v>C</v>
      </c>
      <c r="U159" s="378" t="str">
        <f>IF(VLOOKUP($C159,'REA-PPR'!$A$2:$E$149,5,FALSE)="","No",VLOOKUP($C159,'REA-PPR'!$A$2:$E$149,5,FALSE))</f>
        <v>No</v>
      </c>
      <c r="V159" s="338"/>
      <c r="Y159" s="15"/>
    </row>
    <row r="160" spans="1:25" ht="12.75">
      <c r="A160" s="24"/>
      <c r="B160" s="120"/>
      <c r="C160" s="390">
        <v>18093</v>
      </c>
      <c r="D160" s="386" t="str">
        <f>VLOOKUP($C160,'DB Link APP'!$A$2:$T$323,2,FALSE)</f>
        <v>Green Oaks Apartments</v>
      </c>
      <c r="E160" s="386" t="str">
        <f>VLOOKUP($C160,'DB Link APP'!$A$2:$T$323,17,FALSE)</f>
        <v>David Yarden</v>
      </c>
      <c r="F160" s="376" t="str">
        <f>VLOOKUP(C160,'DB Link APP'!$A$3:$U$140,8,FALSE)</f>
        <v>Urban</v>
      </c>
      <c r="G160" s="387"/>
      <c r="H160" s="380"/>
      <c r="I160" s="377" t="str">
        <f>IF(VLOOKUP($C160,'DB Link APP'!$A$2:$T$323,11,FALSE)=0,"",VLOOKUP($C160,'DB Link APP'!$A$2:$T$323,11,FALSE))</f>
        <v/>
      </c>
      <c r="J160" s="520" t="str">
        <f>IF(VLOOKUP($C160,'DB Link APP'!$A$2:$N$149,13,FALSE)="General","",VLOOKUP($C160,'DB Link APP'!$A$2:$N$149,13,FALSE))</f>
        <v/>
      </c>
      <c r="K160" s="506">
        <f>VLOOKUP($C160,'DB Link APP'!$A$2:$T$323,16,FALSE)</f>
        <v>1500000</v>
      </c>
      <c r="L160" s="485">
        <f>IF(ISNA(VLOOKUP(C160,'UW Rec Amts'!$A$2:$D$112,4,FALSE)),"",VLOOKUP(C160,'UW Rec Amts'!$A$2:$D$112,4,FALSE))</f>
        <v>1500000</v>
      </c>
      <c r="M160" s="385">
        <f>+SUM(L$145:L160)/K$143</f>
        <v>1.1956126271972518</v>
      </c>
      <c r="N160" s="483">
        <f t="shared" si="24"/>
        <v>0</v>
      </c>
      <c r="O160" s="116"/>
      <c r="P160" s="480"/>
      <c r="Q160" s="468">
        <v>0</v>
      </c>
      <c r="R160" s="380" t="str">
        <f t="shared" si="25"/>
        <v/>
      </c>
      <c r="S160" s="267" t="str">
        <f>IF(VLOOKUP($C160,'REA-PPR'!$A$2:$E$149,3,FALSE)="","",VLOOKUP($C160,'REA-PPR'!$A$2:$E$149,3,FALSE))</f>
        <v/>
      </c>
      <c r="T160" s="15" t="str">
        <f>IF(VLOOKUP(C160,'UW Rec Amts'!A:H,2,FALSE),"C","")</f>
        <v>C</v>
      </c>
      <c r="U160" s="378" t="str">
        <f>IF(VLOOKUP($C160,'REA-PPR'!$A$2:$E$149,5,FALSE)="","No",VLOOKUP($C160,'REA-PPR'!$A$2:$E$149,5,FALSE))</f>
        <v>No</v>
      </c>
      <c r="V160" s="283"/>
      <c r="Y160" s="15"/>
    </row>
    <row r="161" spans="1:25" ht="12.75">
      <c r="A161" s="24"/>
      <c r="B161" s="120"/>
      <c r="C161" s="390">
        <v>18383</v>
      </c>
      <c r="D161" s="386" t="str">
        <f>VLOOKUP($C161,'DB Link APP'!$A$2:$T$323,2,FALSE)</f>
        <v>Provision at Lake Houston</v>
      </c>
      <c r="E161" s="386" t="str">
        <f>VLOOKUP($C161,'DB Link APP'!$A$2:$T$323,17,FALSE)</f>
        <v>Ruben Esqueda</v>
      </c>
      <c r="F161" s="376" t="str">
        <f>VLOOKUP(C161,'DB Link APP'!$A$3:$U$140,8,FALSE)</f>
        <v>Urban</v>
      </c>
      <c r="G161" s="387"/>
      <c r="H161" s="380"/>
      <c r="I161" s="377" t="str">
        <f>IF(VLOOKUP($C161,'DB Link APP'!$A$2:$T$323,11,FALSE)=0,"",VLOOKUP($C161,'DB Link APP'!$A$2:$T$323,11,FALSE))</f>
        <v/>
      </c>
      <c r="J161" s="520" t="str">
        <f>IF(VLOOKUP($C161,'DB Link APP'!$A$2:$N$149,13,FALSE)="General","",VLOOKUP($C161,'DB Link APP'!$A$2:$N$149,13,FALSE))</f>
        <v/>
      </c>
      <c r="K161" s="506">
        <f>VLOOKUP($C161,'DB Link APP'!$A$2:$T$323,16,FALSE)</f>
        <v>1500000</v>
      </c>
      <c r="L161" s="485">
        <f>IF(ISNA(VLOOKUP(C161,'UW Rec Amts'!$A$2:$D$112,4,FALSE)),"",VLOOKUP(C161,'UW Rec Amts'!$A$2:$D$112,4,FALSE))</f>
        <v>1500000</v>
      </c>
      <c r="M161" s="385">
        <f>+SUM(L$145:L161)/K$143</f>
        <v>1.3060121839782997</v>
      </c>
      <c r="N161" s="483">
        <f t="shared" si="24"/>
        <v>0</v>
      </c>
      <c r="O161" s="116"/>
      <c r="P161" s="480"/>
      <c r="Q161" s="468">
        <v>0</v>
      </c>
      <c r="R161" s="380" t="str">
        <f t="shared" si="25"/>
        <v/>
      </c>
      <c r="S161" s="267" t="str">
        <f>IF(VLOOKUP($C161,'REA-PPR'!$A$2:$E$149,3,FALSE)="","",VLOOKUP($C161,'REA-PPR'!$A$2:$E$149,3,FALSE))</f>
        <v/>
      </c>
      <c r="T161" s="15" t="str">
        <f>IF(VLOOKUP(C161,'UW Rec Amts'!A:H,2,FALSE),"C","")</f>
        <v>C</v>
      </c>
      <c r="U161" s="378" t="str">
        <f>IF(VLOOKUP($C161,'REA-PPR'!$A$2:$E$149,5,FALSE)="","No",VLOOKUP($C161,'REA-PPR'!$A$2:$E$149,5,FALSE))</f>
        <v>No</v>
      </c>
      <c r="V161" s="338"/>
      <c r="Y161" s="15"/>
    </row>
    <row r="162" spans="1:25" ht="12.75">
      <c r="A162" s="24"/>
      <c r="B162" s="120"/>
      <c r="C162" s="390">
        <v>18382</v>
      </c>
      <c r="D162" s="386" t="str">
        <f>VLOOKUP($C162,'DB Link APP'!$A$2:$T$323,2,FALSE)</f>
        <v>Provision at Synott</v>
      </c>
      <c r="E162" s="386" t="str">
        <f>VLOOKUP($C162,'DB Link APP'!$A$2:$T$323,17,FALSE)</f>
        <v>Ruben Esqueda</v>
      </c>
      <c r="F162" s="376" t="str">
        <f>VLOOKUP(C162,'DB Link APP'!$A$3:$U$140,8,FALSE)</f>
        <v>Urban</v>
      </c>
      <c r="G162" s="387"/>
      <c r="H162" s="380"/>
      <c r="I162" s="377" t="str">
        <f>IF(VLOOKUP($C162,'DB Link APP'!$A$2:$T$323,11,FALSE)=0,"",VLOOKUP($C162,'DB Link APP'!$A$2:$T$323,11,FALSE))</f>
        <v/>
      </c>
      <c r="J162" s="520" t="str">
        <f>IF(VLOOKUP($C162,'DB Link APP'!$A$2:$N$149,13,FALSE)="General","",VLOOKUP($C162,'DB Link APP'!$A$2:$N$149,13,FALSE))</f>
        <v/>
      </c>
      <c r="K162" s="506">
        <f>VLOOKUP($C162,'DB Link APP'!$A$2:$T$323,16,FALSE)</f>
        <v>1500000</v>
      </c>
      <c r="L162" s="485">
        <f>IF(ISNA(VLOOKUP(C162,'UW Rec Amts'!$A$2:$D$112,4,FALSE)),"",VLOOKUP(C162,'UW Rec Amts'!$A$2:$D$112,4,FALSE))</f>
        <v>1500000</v>
      </c>
      <c r="M162" s="385">
        <f>+SUM(L$145:L162)/K$143</f>
        <v>1.4164117407593473</v>
      </c>
      <c r="N162" s="483">
        <f t="shared" si="24"/>
        <v>0</v>
      </c>
      <c r="O162" s="116"/>
      <c r="P162" s="480"/>
      <c r="Q162" s="468">
        <v>0</v>
      </c>
      <c r="R162" s="380" t="str">
        <f t="shared" si="25"/>
        <v/>
      </c>
      <c r="S162" s="267" t="str">
        <f>IF(VLOOKUP($C162,'REA-PPR'!$A$2:$E$149,3,FALSE)="","",VLOOKUP($C162,'REA-PPR'!$A$2:$E$149,3,FALSE))</f>
        <v/>
      </c>
      <c r="T162" s="15" t="str">
        <f>IF(VLOOKUP(C162,'UW Rec Amts'!A:H,2,FALSE),"C","")</f>
        <v>C</v>
      </c>
      <c r="U162" s="378" t="str">
        <f>IF(VLOOKUP($C162,'REA-PPR'!$A$2:$E$149,5,FALSE)="","No",VLOOKUP($C162,'REA-PPR'!$A$2:$E$149,5,FALSE))</f>
        <v>No</v>
      </c>
      <c r="V162" s="338"/>
      <c r="Y162" s="15"/>
    </row>
    <row r="163" spans="1:25" ht="12.75">
      <c r="A163" s="24"/>
      <c r="B163" s="120"/>
      <c r="C163" s="390">
        <v>18338</v>
      </c>
      <c r="D163" s="386" t="str">
        <f>VLOOKUP($C163,'DB Link APP'!$A$2:$T$323,2,FALSE)</f>
        <v>The Greenery</v>
      </c>
      <c r="E163" s="386" t="str">
        <f>VLOOKUP($C163,'DB Link APP'!$A$2:$T$323,17,FALSE)</f>
        <v>Val DeLeon</v>
      </c>
      <c r="F163" s="376" t="str">
        <f>VLOOKUP(C163,'DB Link APP'!$A$3:$U$140,8,FALSE)</f>
        <v>Urban</v>
      </c>
      <c r="G163" s="387"/>
      <c r="H163" s="380"/>
      <c r="I163" s="377" t="str">
        <f>IF(VLOOKUP($C163,'DB Link APP'!$A$2:$T$323,11,FALSE)=0,"",VLOOKUP($C163,'DB Link APP'!$A$2:$T$323,11,FALSE))</f>
        <v/>
      </c>
      <c r="J163" s="520" t="str">
        <f>IF(VLOOKUP($C163,'DB Link APP'!$A$2:$N$149,13,FALSE)="General","",VLOOKUP($C163,'DB Link APP'!$A$2:$N$149,13,FALSE))</f>
        <v/>
      </c>
      <c r="K163" s="506">
        <f>VLOOKUP($C163,'DB Link APP'!$A$2:$T$323,16,FALSE)</f>
        <v>1500000</v>
      </c>
      <c r="L163" s="485">
        <f>IF(ISNA(VLOOKUP(C163,'UW Rec Amts'!$A$2:$D$112,4,FALSE)),"",VLOOKUP(C163,'UW Rec Amts'!$A$2:$D$112,4,FALSE))</f>
        <v>1500000</v>
      </c>
      <c r="M163" s="385">
        <f>+SUM(L$145:L163)/K$143</f>
        <v>1.5268112975403951</v>
      </c>
      <c r="N163" s="483">
        <f t="shared" si="24"/>
        <v>0</v>
      </c>
      <c r="O163" s="116"/>
      <c r="P163" s="480"/>
      <c r="Q163" s="468">
        <v>0</v>
      </c>
      <c r="R163" s="380" t="str">
        <f t="shared" si="25"/>
        <v/>
      </c>
      <c r="S163" s="267" t="str">
        <f>IF(VLOOKUP($C163,'REA-PPR'!$A$2:$E$149,3,FALSE)="","",VLOOKUP($C163,'REA-PPR'!$A$2:$E$149,3,FALSE))</f>
        <v/>
      </c>
      <c r="T163" s="15" t="str">
        <f>IF(VLOOKUP(C163,'UW Rec Amts'!A:H,2,FALSE),"C","")</f>
        <v>C</v>
      </c>
      <c r="U163" s="378" t="str">
        <f>IF(VLOOKUP($C163,'REA-PPR'!$A$2:$E$149,5,FALSE)="","No",VLOOKUP($C163,'REA-PPR'!$A$2:$E$149,5,FALSE))</f>
        <v>No</v>
      </c>
      <c r="V163" s="338"/>
      <c r="Y163" s="15"/>
    </row>
    <row r="164" spans="1:25" ht="15.75">
      <c r="A164" s="24"/>
      <c r="B164" s="120"/>
      <c r="C164" s="354" t="s">
        <v>47</v>
      </c>
      <c r="D164" s="31" t="s">
        <v>717</v>
      </c>
      <c r="E164" s="376"/>
      <c r="F164" s="376"/>
      <c r="G164" s="383"/>
      <c r="H164" s="384"/>
      <c r="I164" s="377"/>
      <c r="J164" s="520"/>
      <c r="K164" s="506"/>
      <c r="L164" s="485"/>
      <c r="M164" s="458"/>
      <c r="N164" s="485"/>
      <c r="O164" s="459"/>
      <c r="P164" s="485"/>
      <c r="Q164" s="469"/>
      <c r="R164" s="380" t="str">
        <f>+IF(N164&gt;0,"I",IF(O164&gt;0,"R",IF(P164&gt;0,"SW","")))</f>
        <v/>
      </c>
      <c r="S164" s="267"/>
      <c r="U164" s="378"/>
      <c r="V164" s="89"/>
      <c r="Y164" s="15"/>
    </row>
    <row r="165" spans="1:25" ht="12.75">
      <c r="A165" s="24"/>
      <c r="B165" s="120"/>
      <c r="C165" s="390">
        <v>18218</v>
      </c>
      <c r="D165" s="386" t="str">
        <f>VLOOKUP($C165,'DB Link APP'!$A$2:$T$323,2,FALSE)</f>
        <v>Cypress Creek Apartment Homes at Woodedge Park</v>
      </c>
      <c r="E165" s="386" t="str">
        <f>VLOOKUP($C165,'DB Link APP'!$A$2:$T$323,17,FALSE)</f>
        <v>Victoria Winters Spicer</v>
      </c>
      <c r="F165" s="376" t="str">
        <f>VLOOKUP(C165,'DB Link APP'!$A$3:$U$140,8,FALSE)</f>
        <v>Urban</v>
      </c>
      <c r="G165" s="387"/>
      <c r="H165" s="380"/>
      <c r="I165" s="377" t="str">
        <f>IF(VLOOKUP($C165,'DB Link APP'!$A$2:$T$323,11,FALSE)=0,"",VLOOKUP($C165,'DB Link APP'!$A$2:$T$323,11,FALSE))</f>
        <v/>
      </c>
      <c r="J165" s="520" t="str">
        <f>IF(VLOOKUP($C165,'DB Link APP'!$A$2:$N$149,13,FALSE)="General","",VLOOKUP($C165,'DB Link APP'!$A$2:$N$149,13,FALSE))</f>
        <v/>
      </c>
      <c r="K165" s="506">
        <f>VLOOKUP($C165,'DB Link APP'!$A$2:$T$323,16,FALSE)</f>
        <v>1500000</v>
      </c>
      <c r="L165" s="485">
        <f>IF(ISNA(VLOOKUP(C165,'UW Rec Amts'!$A$2:$D$112,4,FALSE)),"",VLOOKUP(C165,'UW Rec Amts'!$A$2:$D$112,4,FALSE))</f>
        <v>1500000</v>
      </c>
      <c r="M165" s="385">
        <f>+SUM(L$145:L165)/K$143</f>
        <v>1.6372108543214428</v>
      </c>
      <c r="N165" s="483">
        <f t="shared" si="24"/>
        <v>0</v>
      </c>
      <c r="O165" s="116"/>
      <c r="P165" s="480"/>
      <c r="Q165" s="468">
        <v>0</v>
      </c>
      <c r="R165" s="380" t="str">
        <f t="shared" si="25"/>
        <v/>
      </c>
      <c r="S165" s="267" t="str">
        <f>IF(VLOOKUP($C165,'REA-PPR'!$A$2:$E$149,3,FALSE)="","",VLOOKUP($C165,'REA-PPR'!$A$2:$E$149,3,FALSE))</f>
        <v/>
      </c>
      <c r="T165" s="15" t="str">
        <f>IF(VLOOKUP(C165,'UW Rec Amts'!A:H,2,FALSE),"C","")</f>
        <v>C</v>
      </c>
      <c r="U165" s="378" t="str">
        <f>IF(VLOOKUP($C165,'REA-PPR'!$A$2:$E$149,5,FALSE)="","No",VLOOKUP($C165,'REA-PPR'!$A$2:$E$149,5,FALSE))</f>
        <v>No</v>
      </c>
      <c r="V165" s="89"/>
      <c r="Y165" s="15"/>
    </row>
    <row r="166" spans="1:25" ht="12.75" hidden="1">
      <c r="A166" s="24" t="e">
        <f>VLOOKUP($C149,#REF!,2,FALSE)</f>
        <v>#REF!</v>
      </c>
      <c r="B166" s="120" t="e">
        <f>VLOOKUP($C149,#REF!,6,FALSE)</f>
        <v>#REF!</v>
      </c>
      <c r="C166" s="408">
        <v>18020</v>
      </c>
      <c r="D166" s="386" t="str">
        <f>VLOOKUP($C166,'DB Link APP'!$A$2:$T$323,2,FALSE)</f>
        <v>St. Elizabeth Place</v>
      </c>
      <c r="E166" s="386" t="str">
        <f>VLOOKUP($C166,'DB Link APP'!$A$2:$T$323,17,FALSE)</f>
        <v>Jessica Thompson</v>
      </c>
      <c r="F166" s="376" t="str">
        <f>VLOOKUP(C166,'DB Link APP'!$A$3:$U$140,8,FALSE)</f>
        <v>Urban</v>
      </c>
      <c r="G166" s="387"/>
      <c r="H166" s="380"/>
      <c r="I166" s="377" t="s">
        <v>162</v>
      </c>
      <c r="J166" s="520" t="str">
        <f>IF(VLOOKUP($C166,'REA-PPR'!$A$2:$E$149,5,FALSE)="","No",VLOOKUP($C166,'REA-PPR'!$A$2:$E$149,5,FALSE))</f>
        <v>No</v>
      </c>
      <c r="K166" s="506">
        <f>VLOOKUP($C166,'DB Link APP'!$A$2:$T$323,16,FALSE)</f>
        <v>0</v>
      </c>
      <c r="L166" s="485">
        <f>IF(ISNA(VLOOKUP(C166,'UW Rec Amts'!$A$2:$D$112,4,FALSE)),"",VLOOKUP(C166,'UW Rec Amts'!$A$2:$D$112,4,FALSE))</f>
        <v>0</v>
      </c>
      <c r="M166" s="385">
        <f>+SUM(L$145:L166)/K$143</f>
        <v>1.6372108543214428</v>
      </c>
      <c r="N166" s="483">
        <f t="shared" si="24"/>
        <v>0</v>
      </c>
      <c r="O166" s="118"/>
      <c r="P166" s="480"/>
      <c r="Q166" s="468">
        <f>+SUM(N166:P166)</f>
        <v>0</v>
      </c>
      <c r="R166" s="380" t="str">
        <f t="shared" si="25"/>
        <v/>
      </c>
      <c r="S166" s="267" t="str">
        <f>IF(VLOOKUP($C166,'REA-PPR'!$A$2:$E$149,3,FALSE)="","",VLOOKUP($C166,'REA-PPR'!$A$2:$E$149,3,FALSE))</f>
        <v/>
      </c>
      <c r="T166" s="15" t="str">
        <f>IF(VLOOKUP(C166,'UW Rec Amts'!A:H,2,FALSE),"C","")</f>
        <v/>
      </c>
      <c r="U166" s="378" t="str">
        <f>IF(VLOOKUP($C166,'REA-PPR'!$A$2:$E$149,5,FALSE)="","No",VLOOKUP($C166,'REA-PPR'!$A$2:$E$149,5,FALSE))</f>
        <v>No</v>
      </c>
      <c r="Y166" s="15"/>
    </row>
    <row r="167" spans="1:25" ht="12.75" hidden="1">
      <c r="A167" s="24"/>
      <c r="B167" s="120"/>
      <c r="C167" s="420">
        <v>18025</v>
      </c>
      <c r="D167" s="386" t="str">
        <f>VLOOKUP($C167,'DB Link APP'!$A$2:$T$323,2,FALSE)</f>
        <v>The Vireo</v>
      </c>
      <c r="E167" s="386" t="str">
        <f>VLOOKUP($C167,'DB Link APP'!$A$2:$T$323,17,FALSE)</f>
        <v>Teresa Bowyer</v>
      </c>
      <c r="F167" s="376" t="str">
        <f>VLOOKUP(C167,'DB Link APP'!$A$3:$U$140,8,FALSE)</f>
        <v>Urban</v>
      </c>
      <c r="G167" s="387"/>
      <c r="H167" s="380"/>
      <c r="I167" s="377" t="str">
        <f>IF(VLOOKUP($C167,'DB Link APP'!$A$2:$T$323,11,FALSE)=0,"",VLOOKUP($C167,'DB Link APP'!$A$2:$T$323,11,FALSE))</f>
        <v/>
      </c>
      <c r="J167" s="520" t="str">
        <f>IF(VLOOKUP($C167,'REA-PPR'!$A$2:$E$149,5,FALSE)="","No",VLOOKUP($C167,'REA-PPR'!$A$2:$E$149,5,FALSE))</f>
        <v>No</v>
      </c>
      <c r="K167" s="506">
        <f>VLOOKUP($C167,'DB Link APP'!$A$2:$T$323,16,FALSE)</f>
        <v>0</v>
      </c>
      <c r="L167" s="485">
        <f>IF(ISNA(VLOOKUP(C167,'UW Rec Amts'!$A$2:$D$112,4,FALSE)),"",VLOOKUP(C167,'UW Rec Amts'!$A$2:$D$112,4,FALSE))</f>
        <v>0</v>
      </c>
      <c r="M167" s="385">
        <f>+SUM(L$145:L167)/K$143</f>
        <v>1.6372108543214428</v>
      </c>
      <c r="N167" s="483">
        <f t="shared" si="24"/>
        <v>0</v>
      </c>
      <c r="O167" s="116"/>
      <c r="P167" s="480"/>
      <c r="Q167" s="468">
        <v>0</v>
      </c>
      <c r="R167" s="380" t="str">
        <f t="shared" si="25"/>
        <v/>
      </c>
      <c r="S167" s="267" t="str">
        <f>IF(VLOOKUP($C167,'REA-PPR'!$A$2:$E$149,3,FALSE)="","",VLOOKUP($C167,'REA-PPR'!$A$2:$E$149,3,FALSE))</f>
        <v/>
      </c>
      <c r="T167" s="15" t="str">
        <f>IF(VLOOKUP(C167,'UW Rec Amts'!A:H,2,FALSE),"C","")</f>
        <v/>
      </c>
      <c r="U167" s="378" t="str">
        <f>IF(VLOOKUP($C167,'REA-PPR'!$A$2:$E$149,5,FALSE)="","No",VLOOKUP($C167,'REA-PPR'!$A$2:$E$149,5,FALSE))</f>
        <v>No</v>
      </c>
      <c r="V167" s="338"/>
      <c r="Y167" s="15"/>
    </row>
    <row r="168" spans="1:25" ht="14.25" hidden="1" customHeight="1">
      <c r="A168" s="24" t="e">
        <f>VLOOKUP($C144,#REF!,2,FALSE)</f>
        <v>#REF!</v>
      </c>
      <c r="B168" s="120" t="e">
        <f>VLOOKUP($C144,#REF!,6,FALSE)</f>
        <v>#REF!</v>
      </c>
      <c r="C168" s="420">
        <v>18327</v>
      </c>
      <c r="D168" s="386" t="str">
        <f>VLOOKUP($C168,'DB Link APP'!$A$2:$T$323,2,FALSE)</f>
        <v>Scott Street Lofts</v>
      </c>
      <c r="E168" s="386" t="str">
        <f>VLOOKUP($C168,'DB Link APP'!$A$2:$T$323,17,FALSE)</f>
        <v>David Mark Koogler</v>
      </c>
      <c r="F168" s="376" t="str">
        <f>VLOOKUP(C168,'DB Link APP'!$A$3:$U$140,8,FALSE)</f>
        <v>Urban</v>
      </c>
      <c r="G168" s="387"/>
      <c r="H168" s="380"/>
      <c r="I168" s="377" t="str">
        <f>IF(VLOOKUP($C168,'DB Link APP'!$A$2:$T$323,11,FALSE)=0,"",VLOOKUP($C168,'DB Link APP'!$A$2:$T$323,11,FALSE))</f>
        <v/>
      </c>
      <c r="J168" s="520" t="str">
        <f>IF(VLOOKUP($C168,'REA-PPR'!$A$2:$E$149,5,FALSE)="","No",VLOOKUP($C168,'REA-PPR'!$A$2:$E$149,5,FALSE))</f>
        <v>No</v>
      </c>
      <c r="K168" s="506">
        <f>VLOOKUP($C168,'DB Link APP'!$A$2:$T$323,16,FALSE)</f>
        <v>0</v>
      </c>
      <c r="L168" s="485">
        <f>IF(ISNA(VLOOKUP(C168,'UW Rec Amts'!$A$2:$D$112,4,FALSE)),"",VLOOKUP(C168,'UW Rec Amts'!$A$2:$D$112,4,FALSE))</f>
        <v>0</v>
      </c>
      <c r="M168" s="385">
        <f>+SUM(L$145:L168)/K$143</f>
        <v>1.6372108543214428</v>
      </c>
      <c r="N168" s="483">
        <f t="shared" si="24"/>
        <v>0</v>
      </c>
      <c r="O168" s="116"/>
      <c r="P168" s="480"/>
      <c r="Q168" s="468">
        <v>0</v>
      </c>
      <c r="R168" s="380" t="str">
        <f t="shared" si="25"/>
        <v/>
      </c>
      <c r="S168" s="267" t="str">
        <f>IF(VLOOKUP($C168,'REA-PPR'!$A$2:$E$149,3,FALSE)="","",VLOOKUP($C168,'REA-PPR'!$A$2:$E$149,3,FALSE))</f>
        <v/>
      </c>
      <c r="T168" s="15" t="str">
        <f>IF(VLOOKUP(C168,'UW Rec Amts'!A:H,2,FALSE),"C","")</f>
        <v/>
      </c>
      <c r="U168" s="378" t="str">
        <f>IF(VLOOKUP($C168,'REA-PPR'!$A$2:$E$149,5,FALSE)="","No",VLOOKUP($C168,'REA-PPR'!$A$2:$E$149,5,FALSE))</f>
        <v>No</v>
      </c>
      <c r="Y168" s="15"/>
    </row>
    <row r="169" spans="1:25" ht="12.75" hidden="1">
      <c r="A169" s="24"/>
      <c r="B169" s="120"/>
      <c r="C169" s="420">
        <v>18354</v>
      </c>
      <c r="D169" s="386" t="str">
        <f>VLOOKUP($C169,'DB Link APP'!$A$2:$T$323,2,FALSE)</f>
        <v>Flintlock Apartments</v>
      </c>
      <c r="E169" s="386" t="str">
        <f>VLOOKUP($C169,'DB Link APP'!$A$2:$T$323,17,FALSE)</f>
        <v>Nathan Kelley</v>
      </c>
      <c r="F169" s="376" t="str">
        <f>VLOOKUP(C169,'DB Link APP'!$A$3:$U$140,8,FALSE)</f>
        <v>Urban</v>
      </c>
      <c r="G169" s="387"/>
      <c r="H169" s="380"/>
      <c r="I169" s="377" t="s">
        <v>162</v>
      </c>
      <c r="J169" s="520" t="str">
        <f>IF(VLOOKUP($C169,'REA-PPR'!$A$2:$E$149,5,FALSE)="","No",VLOOKUP($C169,'REA-PPR'!$A$2:$E$149,5,FALSE))</f>
        <v>No</v>
      </c>
      <c r="K169" s="506">
        <f>VLOOKUP($C169,'DB Link APP'!$A$2:$T$323,16,FALSE)</f>
        <v>0</v>
      </c>
      <c r="L169" s="485">
        <f>IF(ISNA(VLOOKUP(C169,'UW Rec Amts'!$A$2:$D$112,4,FALSE)),"",VLOOKUP(C169,'UW Rec Amts'!$A$2:$D$112,4,FALSE))</f>
        <v>0</v>
      </c>
      <c r="M169" s="385">
        <f>+SUM(L$145:L169)/K$143</f>
        <v>1.6372108543214428</v>
      </c>
      <c r="N169" s="483">
        <f t="shared" si="24"/>
        <v>0</v>
      </c>
      <c r="O169" s="116"/>
      <c r="P169" s="480"/>
      <c r="Q169" s="468">
        <v>0</v>
      </c>
      <c r="R169" s="380" t="str">
        <f t="shared" si="25"/>
        <v/>
      </c>
      <c r="S169" s="267" t="str">
        <f>IF(VLOOKUP($C169,'REA-PPR'!$A$2:$E$149,3,FALSE)="","",VLOOKUP($C169,'REA-PPR'!$A$2:$E$149,3,FALSE))</f>
        <v/>
      </c>
      <c r="T169" s="15" t="str">
        <f>IF(VLOOKUP(C169,'UW Rec Amts'!A:H,2,FALSE),"C","")</f>
        <v/>
      </c>
      <c r="U169" s="378" t="str">
        <f>IF(VLOOKUP($C169,'REA-PPR'!$A$2:$E$149,5,FALSE)="","No",VLOOKUP($C169,'REA-PPR'!$A$2:$E$149,5,FALSE))</f>
        <v>No</v>
      </c>
      <c r="V169" s="338"/>
      <c r="Y169" s="15"/>
    </row>
    <row r="170" spans="1:25" ht="12.75" hidden="1">
      <c r="A170" s="24"/>
      <c r="B170" s="120"/>
      <c r="C170" s="420">
        <v>18337</v>
      </c>
      <c r="D170" s="386" t="str">
        <f>VLOOKUP($C170,'DB Link APP'!$A$2:$T$323,2,FALSE)</f>
        <v>Fulton on the Rail</v>
      </c>
      <c r="E170" s="386" t="str">
        <f>VLOOKUP($C170,'DB Link APP'!$A$2:$T$323,17,FALSE)</f>
        <v>Miranda Sprague</v>
      </c>
      <c r="F170" s="376" t="str">
        <f>VLOOKUP(C170,'DB Link APP'!$A$3:$U$140,8,FALSE)</f>
        <v>Urban</v>
      </c>
      <c r="G170" s="387"/>
      <c r="H170" s="380"/>
      <c r="I170" s="377" t="str">
        <f>IF(VLOOKUP($C170,'DB Link APP'!$A$2:$T$323,11,FALSE)=0,"",VLOOKUP($C170,'DB Link APP'!$A$2:$T$323,11,FALSE))</f>
        <v/>
      </c>
      <c r="J170" s="520" t="str">
        <f>IF(VLOOKUP($C170,'REA-PPR'!$A$2:$E$149,5,FALSE)="","No",VLOOKUP($C170,'REA-PPR'!$A$2:$E$149,5,FALSE))</f>
        <v>No</v>
      </c>
      <c r="K170" s="506">
        <f>VLOOKUP($C170,'DB Link APP'!$A$2:$T$323,16,FALSE)</f>
        <v>0</v>
      </c>
      <c r="L170" s="485">
        <f>IF(ISNA(VLOOKUP(C170,'UW Rec Amts'!$A$2:$D$112,4,FALSE)),"",VLOOKUP(C170,'UW Rec Amts'!$A$2:$D$112,4,FALSE))</f>
        <v>0</v>
      </c>
      <c r="M170" s="385">
        <f>+SUM(L$145:L170)/K$143</f>
        <v>1.6372108543214428</v>
      </c>
      <c r="N170" s="483">
        <f t="shared" si="24"/>
        <v>0</v>
      </c>
      <c r="O170" s="118"/>
      <c r="P170" s="480"/>
      <c r="Q170" s="468">
        <f>+SUM(N170:P170)</f>
        <v>0</v>
      </c>
      <c r="R170" s="380" t="str">
        <f t="shared" si="25"/>
        <v/>
      </c>
      <c r="S170" s="267" t="str">
        <f>IF(VLOOKUP($C170,'REA-PPR'!$A$2:$E$149,3,FALSE)="","",VLOOKUP($C170,'REA-PPR'!$A$2:$E$149,3,FALSE))</f>
        <v/>
      </c>
      <c r="T170" s="15" t="str">
        <f>IF(VLOOKUP(C170,'UW Rec Amts'!A:H,2,FALSE),"C","")</f>
        <v/>
      </c>
      <c r="U170" s="378" t="str">
        <f>IF(VLOOKUP($C170,'REA-PPR'!$A$2:$E$149,5,FALSE)="","No",VLOOKUP($C170,'REA-PPR'!$A$2:$E$149,5,FALSE))</f>
        <v>No</v>
      </c>
      <c r="V170" s="338"/>
      <c r="Y170" s="15"/>
    </row>
    <row r="171" spans="1:25" ht="12.75" hidden="1">
      <c r="A171" s="24"/>
      <c r="B171" s="120"/>
      <c r="C171" s="420">
        <v>18331</v>
      </c>
      <c r="D171" s="386" t="str">
        <f>VLOOKUP($C171,'DB Link APP'!$A$2:$T$323,2,FALSE)</f>
        <v>Greens at Mission Bend</v>
      </c>
      <c r="E171" s="386" t="str">
        <f>VLOOKUP($C171,'DB Link APP'!$A$2:$T$323,17,FALSE)</f>
        <v>Les Kilday</v>
      </c>
      <c r="F171" s="376" t="str">
        <f>VLOOKUP(C171,'DB Link APP'!$A$3:$U$140,8,FALSE)</f>
        <v>Urban</v>
      </c>
      <c r="G171" s="387"/>
      <c r="H171" s="380"/>
      <c r="I171" s="377" t="str">
        <f>IF(VLOOKUP($C171,'DB Link APP'!$A$2:$T$323,11,FALSE)=0,"",VLOOKUP($C171,'DB Link APP'!$A$2:$T$323,11,FALSE))</f>
        <v/>
      </c>
      <c r="J171" s="520" t="str">
        <f>IF(VLOOKUP($C171,'REA-PPR'!$A$2:$E$149,5,FALSE)="","No",VLOOKUP($C171,'REA-PPR'!$A$2:$E$149,5,FALSE))</f>
        <v>No</v>
      </c>
      <c r="K171" s="506">
        <f>VLOOKUP($C171,'DB Link APP'!$A$2:$T$323,16,FALSE)</f>
        <v>0</v>
      </c>
      <c r="L171" s="485">
        <f>IF(ISNA(VLOOKUP(C171,'UW Rec Amts'!$A$2:$D$112,4,FALSE)),"",VLOOKUP(C171,'UW Rec Amts'!$A$2:$D$112,4,FALSE))</f>
        <v>0</v>
      </c>
      <c r="M171" s="385">
        <f>+SUM(L$145:L171)/K$143</f>
        <v>1.6372108543214428</v>
      </c>
      <c r="N171" s="483">
        <f t="shared" si="24"/>
        <v>0</v>
      </c>
      <c r="O171" s="116"/>
      <c r="P171" s="480"/>
      <c r="Q171" s="468">
        <v>0</v>
      </c>
      <c r="R171" s="380" t="str">
        <f t="shared" si="25"/>
        <v/>
      </c>
      <c r="S171" s="267" t="str">
        <f>IF(VLOOKUP($C171,'REA-PPR'!$A$2:$E$149,3,FALSE)="","",VLOOKUP($C171,'REA-PPR'!$A$2:$E$149,3,FALSE))</f>
        <v/>
      </c>
      <c r="T171" s="15" t="str">
        <f>IF(VLOOKUP(C171,'UW Rec Amts'!A:H,2,FALSE),"C","")</f>
        <v/>
      </c>
      <c r="U171" s="378" t="str">
        <f>IF(VLOOKUP($C171,'REA-PPR'!$A$2:$E$149,5,FALSE)="","No",VLOOKUP($C171,'REA-PPR'!$A$2:$E$149,5,FALSE))</f>
        <v>No</v>
      </c>
      <c r="V171" s="338"/>
      <c r="Y171" s="15"/>
    </row>
    <row r="172" spans="1:25" ht="12.75" hidden="1">
      <c r="A172" s="24"/>
      <c r="B172" s="120"/>
      <c r="C172" s="408">
        <v>18217</v>
      </c>
      <c r="D172" s="386" t="str">
        <f>VLOOKUP($C172,'DB Link APP'!$A$2:$T$323,2,FALSE)</f>
        <v>Cypress Creek Apartment Homes at Santa Fe</v>
      </c>
      <c r="E172" s="386" t="str">
        <f>VLOOKUP($C172,'DB Link APP'!$A$2:$T$323,17,FALSE)</f>
        <v>Donald Sampley</v>
      </c>
      <c r="F172" s="376" t="str">
        <f>VLOOKUP(C172,'DB Link APP'!$A$3:$U$140,8,FALSE)</f>
        <v>Urban</v>
      </c>
      <c r="G172" s="387"/>
      <c r="H172" s="380"/>
      <c r="I172" s="377" t="str">
        <f>IF(VLOOKUP($C172,'DB Link APP'!$A$2:$T$323,11,FALSE)=0,"",VLOOKUP($C172,'DB Link APP'!$A$2:$T$323,11,FALSE))</f>
        <v/>
      </c>
      <c r="J172" s="520" t="str">
        <f>IF(VLOOKUP($C172,'REA-PPR'!$A$2:$E$149,5,FALSE)="","No",VLOOKUP($C172,'REA-PPR'!$A$2:$E$149,5,FALSE))</f>
        <v>No</v>
      </c>
      <c r="K172" s="506">
        <f>VLOOKUP($C172,'DB Link APP'!$A$2:$T$323,16,FALSE)</f>
        <v>0</v>
      </c>
      <c r="L172" s="485">
        <f>IF(ISNA(VLOOKUP(C172,'UW Rec Amts'!$A$2:$D$112,4,FALSE)),"",VLOOKUP(C172,'UW Rec Amts'!$A$2:$D$112,4,FALSE))</f>
        <v>0</v>
      </c>
      <c r="M172" s="385">
        <f>+SUM(L$145:L172)/K$143</f>
        <v>1.6372108543214428</v>
      </c>
      <c r="N172" s="483">
        <f t="shared" si="24"/>
        <v>0</v>
      </c>
      <c r="O172" s="116"/>
      <c r="P172" s="480"/>
      <c r="Q172" s="468">
        <v>0</v>
      </c>
      <c r="R172" s="380" t="str">
        <f t="shared" si="25"/>
        <v/>
      </c>
      <c r="S172" s="267" t="str">
        <f>IF(VLOOKUP($C172,'REA-PPR'!$A$2:$E$149,3,FALSE)="","",VLOOKUP($C172,'REA-PPR'!$A$2:$E$149,3,FALSE))</f>
        <v/>
      </c>
      <c r="T172" s="15" t="str">
        <f>IF(VLOOKUP(C172,'UW Rec Amts'!A:H,2,FALSE),"C","")</f>
        <v/>
      </c>
      <c r="U172" s="378" t="str">
        <f>IF(VLOOKUP($C172,'REA-PPR'!$A$2:$E$149,5,FALSE)="","No",VLOOKUP($C172,'REA-PPR'!$A$2:$E$149,5,FALSE))</f>
        <v>No</v>
      </c>
      <c r="V172" s="338"/>
      <c r="Y172" s="15"/>
    </row>
    <row r="173" spans="1:25" ht="12.75" hidden="1">
      <c r="A173" s="24"/>
      <c r="B173" s="120"/>
      <c r="C173" s="408">
        <v>18219</v>
      </c>
      <c r="D173" s="386" t="str">
        <f>VLOOKUP($C173,'DB Link APP'!$A$2:$T$323,2,FALSE)</f>
        <v>Cypress Creek Apartment Homes at Park South View</v>
      </c>
      <c r="E173" s="386" t="str">
        <f>VLOOKUP($C173,'DB Link APP'!$A$2:$T$323,17,FALSE)</f>
        <v>Victoria Winters Spicer</v>
      </c>
      <c r="F173" s="376" t="str">
        <f>VLOOKUP(C173,'DB Link APP'!$A$3:$U$140,8,FALSE)</f>
        <v>Urban</v>
      </c>
      <c r="G173" s="387"/>
      <c r="H173" s="380"/>
      <c r="I173" s="377" t="str">
        <f>IF(VLOOKUP($C173,'DB Link APP'!$A$2:$T$323,11,FALSE)=0,"",VLOOKUP($C173,'DB Link APP'!$A$2:$T$323,11,FALSE))</f>
        <v/>
      </c>
      <c r="J173" s="520" t="str">
        <f>IF(VLOOKUP($C173,'REA-PPR'!$A$2:$E$149,5,FALSE)="","No",VLOOKUP($C173,'REA-PPR'!$A$2:$E$149,5,FALSE))</f>
        <v>No</v>
      </c>
      <c r="K173" s="506">
        <f>VLOOKUP($C173,'DB Link APP'!$A$2:$T$323,16,FALSE)</f>
        <v>0</v>
      </c>
      <c r="L173" s="485">
        <f>IF(ISNA(VLOOKUP(C173,'UW Rec Amts'!$A$2:$D$112,4,FALSE)),"",VLOOKUP(C173,'UW Rec Amts'!$A$2:$D$112,4,FALSE))</f>
        <v>0</v>
      </c>
      <c r="M173" s="385">
        <f>+SUM(L$145:L173)/K$143</f>
        <v>1.6372108543214428</v>
      </c>
      <c r="N173" s="483">
        <f t="shared" si="24"/>
        <v>0</v>
      </c>
      <c r="O173" s="116"/>
      <c r="P173" s="480"/>
      <c r="Q173" s="468">
        <f>+SUM(N173:P173)</f>
        <v>0</v>
      </c>
      <c r="R173" s="380" t="str">
        <f>+IF(N173&gt;0,"I",IF(O173&gt;0,"R",IF(P173&gt;0,"SW","")))</f>
        <v/>
      </c>
      <c r="S173" s="267" t="str">
        <f>IF(VLOOKUP($C173,'REA-PPR'!$A$2:$E$149,3,FALSE)="","",VLOOKUP($C173,'REA-PPR'!$A$2:$E$149,3,FALSE))</f>
        <v/>
      </c>
      <c r="T173" s="15" t="str">
        <f>IF(VLOOKUP(C173,'UW Rec Amts'!A:H,2,FALSE),"C","")</f>
        <v/>
      </c>
      <c r="U173" s="378" t="str">
        <f>IF(VLOOKUP($C173,'REA-PPR'!$A$2:$E$149,5,FALSE)="","No",VLOOKUP($C173,'REA-PPR'!$A$2:$E$149,5,FALSE))</f>
        <v>No</v>
      </c>
      <c r="V173" s="283"/>
      <c r="Y173" s="15"/>
    </row>
    <row r="174" spans="1:25">
      <c r="A174" s="24"/>
      <c r="B174" s="120"/>
      <c r="C174" s="364"/>
      <c r="D174" s="365"/>
      <c r="E174" s="365"/>
      <c r="F174" s="366"/>
      <c r="G174" s="367"/>
      <c r="H174" s="367"/>
      <c r="I174" s="365"/>
      <c r="J174" s="523"/>
      <c r="K174" s="481"/>
      <c r="L174" s="481"/>
      <c r="M174" s="372"/>
      <c r="N174" s="481"/>
      <c r="O174" s="29"/>
      <c r="P174" s="481"/>
      <c r="Q174" s="470"/>
      <c r="R174" s="368"/>
      <c r="U174" s="378"/>
      <c r="V174" s="283"/>
      <c r="Y174" s="15"/>
    </row>
    <row r="175" spans="1:25">
      <c r="A175" s="24"/>
      <c r="B175" s="120"/>
      <c r="J175" s="272" t="s">
        <v>18</v>
      </c>
      <c r="K175" s="465">
        <f>+SUM(K144:K174)</f>
        <v>28245236.803964287</v>
      </c>
      <c r="L175" s="498" t="s">
        <v>19</v>
      </c>
      <c r="M175" s="243"/>
      <c r="N175" s="465">
        <f>+SUM(N144:N174)</f>
        <v>13244802</v>
      </c>
      <c r="P175" s="465">
        <f>+SUM(P144:P174)</f>
        <v>0</v>
      </c>
      <c r="Q175" s="465">
        <f>+SUM(Q144:Q174)</f>
        <v>13244802</v>
      </c>
      <c r="U175" s="378"/>
      <c r="V175" s="320"/>
      <c r="Y175" s="15"/>
    </row>
    <row r="176" spans="1:25" ht="12" customHeight="1">
      <c r="A176" s="27"/>
      <c r="B176" s="27"/>
      <c r="J176" s="524"/>
      <c r="L176" s="498" t="s">
        <v>20</v>
      </c>
      <c r="M176" s="243"/>
      <c r="N176" s="25">
        <f>1-SUM($N175:N175)/$K143</f>
        <v>2.5186486364843552E-2</v>
      </c>
      <c r="O176" s="25"/>
      <c r="P176" s="25">
        <f>1-SUM($N175:P175)/$K143</f>
        <v>2.5186486364843552E-2</v>
      </c>
      <c r="Q176" s="25">
        <f>1-SUM($Q175:Q175)/$K143</f>
        <v>2.5186486364843552E-2</v>
      </c>
      <c r="U176" s="378"/>
      <c r="Y176" s="15"/>
    </row>
    <row r="177" spans="1:26" ht="6.75" customHeight="1">
      <c r="J177" s="524"/>
      <c r="M177" s="243"/>
      <c r="U177" s="378"/>
      <c r="V177" s="89"/>
      <c r="W177" s="268"/>
      <c r="Y177" s="15"/>
    </row>
    <row r="178" spans="1:26" ht="15.75">
      <c r="C178" s="354" t="s">
        <v>48</v>
      </c>
      <c r="D178" s="31" t="s">
        <v>6</v>
      </c>
      <c r="J178" s="272" t="str">
        <f>+J143</f>
        <v>Available</v>
      </c>
      <c r="K178" s="465">
        <f>+CEILING!L47</f>
        <v>500000</v>
      </c>
      <c r="M178" s="243"/>
      <c r="U178" s="378"/>
    </row>
    <row r="179" spans="1:26">
      <c r="C179" s="361"/>
      <c r="D179" s="357"/>
      <c r="E179" s="357"/>
      <c r="F179" s="356"/>
      <c r="G179" s="362"/>
      <c r="H179" s="362"/>
      <c r="I179" s="357"/>
      <c r="J179" s="522"/>
      <c r="K179" s="471"/>
      <c r="L179" s="471"/>
      <c r="M179" s="370"/>
      <c r="N179" s="471"/>
      <c r="O179" s="357"/>
      <c r="P179" s="362"/>
      <c r="Q179" s="467"/>
      <c r="R179" s="363"/>
      <c r="U179" s="378"/>
    </row>
    <row r="180" spans="1:26" ht="12.75" customHeight="1">
      <c r="A180" s="24" t="e">
        <f>VLOOKUP($C179,#REF!,2,FALSE)</f>
        <v>#REF!</v>
      </c>
      <c r="B180" s="120" t="e">
        <f>VLOOKUP($C179,#REF!,6,FALSE)</f>
        <v>#REF!</v>
      </c>
      <c r="C180" s="389">
        <v>18245</v>
      </c>
      <c r="D180" s="386" t="str">
        <f>VLOOKUP($C180,'DB Link APP'!$A$2:$T$323,2,FALSE)</f>
        <v>Lockhart Springs</v>
      </c>
      <c r="E180" s="386" t="str">
        <f>VLOOKUP($C180,'DB Link APP'!$A$2:$T$323,17,FALSE)</f>
        <v>Todd Erickson</v>
      </c>
      <c r="F180" s="376" t="str">
        <f>VLOOKUP(C180,'DB Link APP'!$A$3:$U$119,8,FALSE)</f>
        <v>Rural</v>
      </c>
      <c r="G180" s="387"/>
      <c r="H180" s="380"/>
      <c r="I180" s="377" t="str">
        <f>IF(VLOOKUP($C180,'DB Link APP'!$A$2:$T$323,11,FALSE)=0,"",VLOOKUP($C180,'DB Link APP'!$A$2:$T$323,11,FALSE))</f>
        <v/>
      </c>
      <c r="J180" s="520" t="str">
        <f>IF(VLOOKUP($C180,'DB Link APP'!$A$2:$N$149,13,FALSE)="General","",VLOOKUP($C180,'DB Link APP'!$A$2:$N$149,13,FALSE))</f>
        <v/>
      </c>
      <c r="K180" s="506">
        <f>VLOOKUP($C180,'DB Link APP'!$A$2:$T$323,16,FALSE)</f>
        <v>500000</v>
      </c>
      <c r="L180" s="485">
        <f>IF(ISNA(VLOOKUP(C180,'UW Rec Amts'!$A$2:$D$112,4,FALSE)),"",VLOOKUP(C180,'UW Rec Amts'!$A$2:$D$112,4,FALSE))</f>
        <v>500000</v>
      </c>
      <c r="M180" s="385">
        <f>+SUM(L$180:L180)/K$178</f>
        <v>1</v>
      </c>
      <c r="N180" s="483">
        <f>+IF(M180&lt;=1,L180,0)</f>
        <v>500000</v>
      </c>
      <c r="O180" s="480"/>
      <c r="P180" s="480"/>
      <c r="Q180" s="468">
        <f>+SUM(N180:P180)</f>
        <v>500000</v>
      </c>
      <c r="R180" s="380" t="str">
        <f>+IF(N180&gt;0,"I",IF(O180&gt;0,"R",IF(P180&gt;0,"SW","")))</f>
        <v>I</v>
      </c>
      <c r="S180" s="267" t="str">
        <f>IF(VLOOKUP($C180,'REA-PPR'!$A$2:$E$149,3,FALSE)="","",VLOOKUP($C180,'REA-PPR'!$A$2:$E$149,3,FALSE))</f>
        <v/>
      </c>
      <c r="T180" s="15" t="str">
        <f>IF(VLOOKUP(C180,'UW Rec Amts'!A:H,2,FALSE),"C","")</f>
        <v>C</v>
      </c>
      <c r="U180" s="378" t="str">
        <f>IF(VLOOKUP($C180,'REA-PPR'!$A$2:$E$149,5,FALSE)="","No",VLOOKUP($C180,'REA-PPR'!$A$2:$E$149,5,FALSE))</f>
        <v>No</v>
      </c>
    </row>
    <row r="181" spans="1:26">
      <c r="C181" s="389">
        <v>18026</v>
      </c>
      <c r="D181" s="386" t="str">
        <f>VLOOKUP($C181,'DB Link APP'!$A$2:$T$323,2,FALSE)</f>
        <v>Maple Park Senior Village</v>
      </c>
      <c r="E181" s="386" t="str">
        <f>VLOOKUP($C181,'DB Link APP'!$A$2:$T$323,17,FALSE)</f>
        <v>Brian Kimes</v>
      </c>
      <c r="F181" s="376" t="str">
        <f>VLOOKUP(C181,'DB Link APP'!$A$3:$U$119,8,FALSE)</f>
        <v>Rural</v>
      </c>
      <c r="G181" s="387"/>
      <c r="H181" s="380"/>
      <c r="I181" s="377" t="str">
        <f>IF(VLOOKUP($C181,'DB Link APP'!$A$2:$T$323,11,FALSE)=0,"",VLOOKUP($C181,'DB Link APP'!$A$2:$T$323,11,FALSE))</f>
        <v/>
      </c>
      <c r="J181" s="520" t="str">
        <f>IF(VLOOKUP($C181,'DB Link APP'!$A$2:$N$149,13,FALSE)="General","",VLOOKUP($C181,'DB Link APP'!$A$2:$N$149,13,FALSE))</f>
        <v>Elderly Limitation</v>
      </c>
      <c r="K181" s="507">
        <f>VLOOKUP($C181,'DB Link APP'!$A$2:$T$323,16,FALSE)</f>
        <v>500000</v>
      </c>
      <c r="L181" s="485">
        <f>IF(ISNA(VLOOKUP(C181,'UW Rec Amts'!$A$2:$D$112,4,FALSE)),"",VLOOKUP(C181,'UW Rec Amts'!$A$2:$D$112,4,FALSE))</f>
        <v>500000</v>
      </c>
      <c r="M181" s="385">
        <f>+SUM(L$180:L181)/K$178</f>
        <v>2</v>
      </c>
      <c r="N181" s="483">
        <f>+IF(M181&lt;=1,L181,0)</f>
        <v>0</v>
      </c>
      <c r="O181" s="480"/>
      <c r="P181" s="480"/>
      <c r="Q181" s="468">
        <f>+SUM(N181:P181)</f>
        <v>0</v>
      </c>
      <c r="R181" s="380" t="str">
        <f>+IF(N181&gt;0,"I",IF(O181&gt;0,"R",IF(P181&gt;0,"SW","")))</f>
        <v/>
      </c>
      <c r="S181" s="267" t="str">
        <f>IF(VLOOKUP($C181,'REA-PPR'!$A$2:$E$149,3,FALSE)="","",VLOOKUP($C181,'REA-PPR'!$A$2:$E$149,3,FALSE))</f>
        <v/>
      </c>
      <c r="T181" s="15" t="str">
        <f>IF(VLOOKUP(C181,'UW Rec Amts'!A:H,2,FALSE),"C","")</f>
        <v>C</v>
      </c>
      <c r="U181" s="378" t="str">
        <f>IF(VLOOKUP($C181,'REA-PPR'!$A$2:$E$149,5,FALSE)="","No",VLOOKUP($C181,'REA-PPR'!$A$2:$E$149,5,FALSE))</f>
        <v>No</v>
      </c>
    </row>
    <row r="182" spans="1:26">
      <c r="A182" s="24"/>
      <c r="B182" s="120"/>
      <c r="C182" s="364"/>
      <c r="D182" s="365"/>
      <c r="E182" s="365"/>
      <c r="F182" s="366"/>
      <c r="G182" s="367"/>
      <c r="H182" s="367"/>
      <c r="I182" s="365"/>
      <c r="J182" s="523"/>
      <c r="K182" s="481"/>
      <c r="L182" s="481"/>
      <c r="M182" s="372"/>
      <c r="N182" s="481"/>
      <c r="O182" s="481"/>
      <c r="P182" s="481"/>
      <c r="Q182" s="470"/>
      <c r="R182" s="368"/>
      <c r="U182" s="378"/>
      <c r="V182" s="89"/>
    </row>
    <row r="183" spans="1:26">
      <c r="A183" s="24"/>
      <c r="B183" s="120"/>
      <c r="J183" s="272" t="s">
        <v>18</v>
      </c>
      <c r="K183" s="465">
        <f>+SUM(K179:K182)</f>
        <v>1000000</v>
      </c>
      <c r="L183" s="498" t="s">
        <v>19</v>
      </c>
      <c r="M183" s="243"/>
      <c r="N183" s="465">
        <f>+SUM(N179:N182)</f>
        <v>500000</v>
      </c>
      <c r="O183" s="465">
        <f>+SUM(O179:O182)</f>
        <v>0</v>
      </c>
      <c r="P183" s="465">
        <f>+SUM(P179:P182)</f>
        <v>0</v>
      </c>
      <c r="Q183" s="465">
        <f>+SUM(Q179:Q182)</f>
        <v>500000</v>
      </c>
      <c r="U183" s="378"/>
      <c r="V183" s="89"/>
    </row>
    <row r="184" spans="1:26" ht="12" customHeight="1">
      <c r="A184" s="27"/>
      <c r="B184" s="27"/>
      <c r="J184" s="524"/>
      <c r="L184" s="498" t="s">
        <v>20</v>
      </c>
      <c r="M184" s="243"/>
      <c r="N184" s="25">
        <f>1-SUM($N183:N183)/$K178</f>
        <v>0</v>
      </c>
      <c r="O184" s="25">
        <f>1-SUM($N183:O183)/$K178</f>
        <v>0</v>
      </c>
      <c r="P184" s="25">
        <f>1-SUM($N183:P183)/$K178</f>
        <v>0</v>
      </c>
      <c r="Q184" s="25">
        <f>1-SUM($Q183:Q183)/$K178</f>
        <v>0</v>
      </c>
      <c r="U184" s="378"/>
    </row>
    <row r="185" spans="1:26" ht="6" customHeight="1">
      <c r="J185" s="524"/>
      <c r="M185" s="243"/>
      <c r="U185" s="378"/>
    </row>
    <row r="186" spans="1:26" ht="15.75">
      <c r="C186" s="354" t="s">
        <v>48</v>
      </c>
      <c r="D186" s="31" t="s">
        <v>14</v>
      </c>
      <c r="J186" s="272" t="str">
        <f>+J178</f>
        <v>Available</v>
      </c>
      <c r="K186" s="465">
        <f>+CEILING!L33</f>
        <v>5809536.4576726081</v>
      </c>
      <c r="M186" s="243"/>
      <c r="U186" s="378"/>
      <c r="W186" s="21"/>
    </row>
    <row r="187" spans="1:26">
      <c r="C187" s="361"/>
      <c r="D187" s="357"/>
      <c r="E187" s="357"/>
      <c r="F187" s="356"/>
      <c r="G187" s="362"/>
      <c r="H187" s="362"/>
      <c r="I187" s="357"/>
      <c r="J187" s="522"/>
      <c r="K187" s="471"/>
      <c r="L187" s="471"/>
      <c r="M187" s="370"/>
      <c r="N187" s="471"/>
      <c r="O187" s="29"/>
      <c r="P187" s="362"/>
      <c r="Q187" s="467"/>
      <c r="R187" s="363"/>
      <c r="U187" s="378"/>
      <c r="W187" s="21"/>
      <c r="Z187" s="15" t="s">
        <v>135</v>
      </c>
    </row>
    <row r="188" spans="1:26" ht="12.75">
      <c r="C188" s="390">
        <v>18099</v>
      </c>
      <c r="D188" s="386" t="str">
        <f>VLOOKUP($C188,'DB Link APP'!$A$2:$T$323,2,FALSE)</f>
        <v>Waters Park Studios</v>
      </c>
      <c r="E188" s="386" t="str">
        <f>VLOOKUP($C188,'DB Link APP'!$A$2:$T$323,17,FALSE)</f>
        <v>Walter Moreau</v>
      </c>
      <c r="F188" s="376" t="str">
        <f>VLOOKUP(C188,'DB Link APP'!$A$3:$U$140,8,FALSE)</f>
        <v>Urban</v>
      </c>
      <c r="G188" s="387"/>
      <c r="H188" s="380"/>
      <c r="I188" s="377" t="s">
        <v>162</v>
      </c>
      <c r="J188" s="520" t="str">
        <f>IF(VLOOKUP($C188,'DB Link APP'!$A$2:$N$149,13,FALSE)="General","",VLOOKUP($C188,'DB Link APP'!$A$2:$N$149,13,FALSE))</f>
        <v>Supportive Housing</v>
      </c>
      <c r="K188" s="506">
        <f>VLOOKUP($C188,'DB Link APP'!$A$2:$T$323,16,FALSE)</f>
        <v>1500000</v>
      </c>
      <c r="L188" s="485">
        <f>IF(ISNA(VLOOKUP(C188,'UW Rec Amts'!$A$2:$D$112,4,FALSE)),"",VLOOKUP(C188,'UW Rec Amts'!$A$2:$D$112,4,FALSE))</f>
        <v>1500000</v>
      </c>
      <c r="M188" s="385">
        <f>+SUM(L$188:L188)/K$186</f>
        <v>0.25819615918219468</v>
      </c>
      <c r="N188" s="483">
        <f>+IF(M188&lt;=1,L188,0)</f>
        <v>1500000</v>
      </c>
      <c r="O188" s="118"/>
      <c r="P188" s="480"/>
      <c r="Q188" s="468">
        <f>+SUM(N188:P188)</f>
        <v>1500000</v>
      </c>
      <c r="R188" s="380" t="str">
        <f>+IF(N188&gt;0,"I",IF(O188&gt;0,"R",IF(P188&gt;0,"SW","")))</f>
        <v>I</v>
      </c>
      <c r="S188" s="267" t="str">
        <f>IF(VLOOKUP($C188,'REA-PPR'!$A$2:$E$149,3,FALSE)="","",VLOOKUP($C188,'REA-PPR'!$A$2:$E$149,3,FALSE))</f>
        <v/>
      </c>
      <c r="T188" s="15" t="str">
        <f>IF(VLOOKUP(C188,'UW Rec Amts'!A:H,2,FALSE),"C","")</f>
        <v>C</v>
      </c>
      <c r="U188" s="378" t="str">
        <f>IF(VLOOKUP($C188,'REA-PPR'!$A$2:$E$149,5,FALSE)="","No",VLOOKUP($C188,'REA-PPR'!$A$2:$E$149,5,FALSE))</f>
        <v>No</v>
      </c>
    </row>
    <row r="189" spans="1:26" ht="12.75">
      <c r="A189" s="24"/>
      <c r="B189" s="120"/>
      <c r="C189" s="390">
        <v>18015</v>
      </c>
      <c r="D189" s="386" t="str">
        <f>VLOOKUP($C189,'DB Link APP'!$A$2:$T$323,2,FALSE)</f>
        <v>Cambrian East Riverside</v>
      </c>
      <c r="E189" s="386" t="str">
        <f>VLOOKUP($C189,'DB Link APP'!$A$2:$T$323,17,FALSE)</f>
        <v>Jason Haskins</v>
      </c>
      <c r="F189" s="376" t="str">
        <f>VLOOKUP(C189,'DB Link APP'!$A$3:$U$140,8,FALSE)</f>
        <v>Urban</v>
      </c>
      <c r="G189" s="387"/>
      <c r="H189" s="380"/>
      <c r="I189" s="377" t="str">
        <f>IF(VLOOKUP($C189,'DB Link APP'!$A$2:$T$323,11,FALSE)=0,"",VLOOKUP($C189,'DB Link APP'!$A$2:$T$323,11,FALSE))</f>
        <v/>
      </c>
      <c r="J189" s="520" t="str">
        <f>IF(VLOOKUP($C189,'DB Link APP'!$A$2:$N$149,13,FALSE)="General","",VLOOKUP($C189,'DB Link APP'!$A$2:$N$149,13,FALSE))</f>
        <v/>
      </c>
      <c r="K189" s="506">
        <f>VLOOKUP($C189,'DB Link APP'!$A$2:$T$323,16,FALSE)</f>
        <v>1010620</v>
      </c>
      <c r="L189" s="485">
        <f>IF(ISNA(VLOOKUP(C189,'UW Rec Amts'!$A$2:$D$112,4,FALSE)),"",VLOOKUP(C189,'UW Rec Amts'!$A$2:$D$112,4,FALSE))</f>
        <v>1010620</v>
      </c>
      <c r="M189" s="385">
        <f>+SUM(L$188:L189)/K$186</f>
        <v>0.4321549607773344</v>
      </c>
      <c r="N189" s="483">
        <f t="shared" ref="N189:N193" si="27">+IF(M189&lt;=1,L189,0)</f>
        <v>1010620</v>
      </c>
      <c r="O189" s="118"/>
      <c r="P189" s="480"/>
      <c r="Q189" s="468">
        <f>+SUM(N189:P189)</f>
        <v>1010620</v>
      </c>
      <c r="R189" s="380" t="str">
        <f>+IF(N189&gt;0,"I",IF(O189&gt;0,"R",IF(P189&gt;0,"SW","")))</f>
        <v>I</v>
      </c>
      <c r="S189" s="267" t="str">
        <f>IF(VLOOKUP($C189,'REA-PPR'!$A$2:$E$149,3,FALSE)="","",VLOOKUP($C189,'REA-PPR'!$A$2:$E$149,3,FALSE))</f>
        <v/>
      </c>
      <c r="T189" s="15" t="str">
        <f>IF(VLOOKUP(C189,'UW Rec Amts'!A:H,2,FALSE),"C","")</f>
        <v>C</v>
      </c>
      <c r="U189" s="378" t="str">
        <f>IF(VLOOKUP($C189,'REA-PPR'!$A$2:$E$149,5,FALSE)="","No",VLOOKUP($C189,'REA-PPR'!$A$2:$E$149,5,FALSE))</f>
        <v>No</v>
      </c>
      <c r="V189" s="280"/>
    </row>
    <row r="190" spans="1:26" ht="12.75">
      <c r="A190" s="24"/>
      <c r="B190" s="120"/>
      <c r="C190" s="390">
        <v>18081</v>
      </c>
      <c r="D190" s="386" t="str">
        <f>VLOOKUP($C190,'DB Link APP'!$A$2:$T$323,2,FALSE)</f>
        <v>Pathways at Chalmers Courts East</v>
      </c>
      <c r="E190" s="386" t="str">
        <f>VLOOKUP($C190,'DB Link APP'!$A$2:$T$323,17,FALSE)</f>
        <v>Suzanne Schwertner</v>
      </c>
      <c r="F190" s="376" t="str">
        <f>VLOOKUP(C190,'DB Link APP'!$A$3:$U$140,8,FALSE)</f>
        <v>Urban</v>
      </c>
      <c r="G190" s="387"/>
      <c r="H190" s="380"/>
      <c r="I190" s="377" t="s">
        <v>162</v>
      </c>
      <c r="J190" s="520" t="str">
        <f>IF(VLOOKUP($C190,'DB Link APP'!$A$2:$N$149,13,FALSE)="General","",VLOOKUP($C190,'DB Link APP'!$A$2:$N$149,13,FALSE))</f>
        <v/>
      </c>
      <c r="K190" s="506">
        <f>VLOOKUP($C190,'DB Link APP'!$A$2:$T$323,16,FALSE)</f>
        <v>1500000</v>
      </c>
      <c r="L190" s="485">
        <f>IF(ISNA(VLOOKUP(C190,'UW Rec Amts'!$A$2:$D$112,4,FALSE)),"",VLOOKUP(C190,'UW Rec Amts'!$A$2:$D$112,4,FALSE))</f>
        <v>1500000</v>
      </c>
      <c r="M190" s="385">
        <f>+SUM(L$188:L190)/K$186</f>
        <v>0.69035111995952902</v>
      </c>
      <c r="N190" s="483">
        <f t="shared" si="27"/>
        <v>1500000</v>
      </c>
      <c r="O190" s="118"/>
      <c r="P190" s="480"/>
      <c r="Q190" s="468">
        <f t="shared" ref="Q190" si="28">+SUM(N190:P190)</f>
        <v>1500000</v>
      </c>
      <c r="R190" s="380" t="str">
        <f t="shared" ref="R190" si="29">+IF(N190&gt;0,"I",IF(O190&gt;0,"R",IF(P190&gt;0,"SW","")))</f>
        <v>I</v>
      </c>
      <c r="S190" s="267" t="str">
        <f>IF(VLOOKUP($C190,'REA-PPR'!$A$2:$E$149,3,FALSE)="","",VLOOKUP($C190,'REA-PPR'!$A$2:$E$149,3,FALSE))</f>
        <v/>
      </c>
      <c r="T190" s="15" t="str">
        <f>IF(VLOOKUP(C190,'UW Rec Amts'!A:H,2,FALSE),"C","")</f>
        <v>C</v>
      </c>
      <c r="U190" s="378" t="str">
        <f>IF(VLOOKUP($C190,'REA-PPR'!$A$2:$E$149,5,FALSE)="","No",VLOOKUP($C190,'REA-PPR'!$A$2:$E$149,5,FALSE))</f>
        <v>No</v>
      </c>
    </row>
    <row r="191" spans="1:26" ht="12.75">
      <c r="A191" s="24"/>
      <c r="B191" s="120"/>
      <c r="C191" s="390">
        <v>18709</v>
      </c>
      <c r="D191" s="386" t="str">
        <f>VLOOKUP($C191,'DB Link APP'!$A$2:$T$323,2,FALSE)</f>
        <v>Merritt Heritage</v>
      </c>
      <c r="E191" s="386" t="str">
        <f>VLOOKUP($C191,'DB Link APP'!$A$2:$T$323,17,FALSE)</f>
        <v>Colby Denison</v>
      </c>
      <c r="F191" s="376" t="str">
        <f>VLOOKUP(C191,'DB Link APP'!$A$3:$U$143,8,FALSE)</f>
        <v>Urban</v>
      </c>
      <c r="G191" s="387"/>
      <c r="H191" s="380"/>
      <c r="I191" s="377" t="s">
        <v>162</v>
      </c>
      <c r="J191" s="520" t="str">
        <f>IF(VLOOKUP($C191,'DB Link APP'!$A$2:$N$149,13,FALSE)="General","",VLOOKUP($C191,'DB Link APP'!$A$2:$N$149,13,FALSE))</f>
        <v>Elderly Limitation</v>
      </c>
      <c r="K191" s="506">
        <f>VLOOKUP($C191,'DB Link APP'!$A$2:$T$323,16,FALSE)</f>
        <v>1194724</v>
      </c>
      <c r="L191" s="485">
        <f>IF(ISNA(VLOOKUP(C191,'UW Rec Amts'!$A$2:$D$142,4,FALSE)),"",VLOOKUP(C191,'UW Rec Amts'!$A$2:$D$142,4,FALSE))</f>
        <v>1194724</v>
      </c>
      <c r="M191" s="385">
        <f>+SUM(L$188:L191)/K$186</f>
        <v>0.89599988534805464</v>
      </c>
      <c r="N191" s="483">
        <f t="shared" ref="N191" si="30">+IF(M191&lt;=1,L191,0)</f>
        <v>1194724</v>
      </c>
      <c r="O191" s="118"/>
      <c r="P191" s="480"/>
      <c r="Q191" s="468">
        <f t="shared" ref="Q191" si="31">+SUM(N191:P191)</f>
        <v>1194724</v>
      </c>
      <c r="R191" s="380" t="str">
        <f t="shared" ref="R191" si="32">+IF(N191&gt;0,"I",IF(O191&gt;0,"R",IF(P191&gt;0,"SW","")))</f>
        <v>I</v>
      </c>
      <c r="S191" s="267"/>
      <c r="U191" s="378"/>
      <c r="V191" s="536"/>
    </row>
    <row r="192" spans="1:26" ht="12.75">
      <c r="A192" s="24"/>
      <c r="B192" s="120"/>
      <c r="C192" s="390">
        <v>18335</v>
      </c>
      <c r="D192" s="386" t="str">
        <f>VLOOKUP($C192,'DB Link APP'!$A$2:$T$323,2,FALSE)</f>
        <v>Travis Flats</v>
      </c>
      <c r="E192" s="386" t="str">
        <f>VLOOKUP($C192,'DB Link APP'!$A$2:$T$323,17,FALSE)</f>
        <v>JoEllen Smith</v>
      </c>
      <c r="F192" s="376" t="str">
        <f>VLOOKUP(C192,'DB Link APP'!$A$3:$U$140,8,FALSE)</f>
        <v>Urban</v>
      </c>
      <c r="G192" s="387"/>
      <c r="H192" s="380"/>
      <c r="I192" s="377" t="s">
        <v>162</v>
      </c>
      <c r="J192" s="520" t="str">
        <f>IF(VLOOKUP($C192,'DB Link APP'!$A$2:$N$149,13,FALSE)="General","",VLOOKUP($C192,'DB Link APP'!$A$2:$N$149,13,FALSE))</f>
        <v/>
      </c>
      <c r="K192" s="506">
        <f>VLOOKUP($C192,'DB Link APP'!$A$2:$T$323,16,FALSE)</f>
        <v>1500000</v>
      </c>
      <c r="L192" s="485">
        <f>IF(ISNA(VLOOKUP(C192,'UW Rec Amts'!$A$2:$D$112,4,FALSE)),"",VLOOKUP(C192,'UW Rec Amts'!$A$2:$D$112,4,FALSE))</f>
        <v>1500000</v>
      </c>
      <c r="M192" s="385">
        <f>+SUM(L$188:L192)/K$186</f>
        <v>1.1541960445302493</v>
      </c>
      <c r="N192" s="483">
        <f t="shared" si="27"/>
        <v>0</v>
      </c>
      <c r="O192" s="118"/>
      <c r="P192" s="480">
        <f>L192</f>
        <v>1500000</v>
      </c>
      <c r="Q192" s="468">
        <f>+SUM(N192:P192)</f>
        <v>1500000</v>
      </c>
      <c r="R192" s="380" t="str">
        <f>+IF(N192&gt;0,"I",IF(O192&gt;0,"R",IF(P192&gt;0,"SW","")))</f>
        <v>SW</v>
      </c>
      <c r="S192" s="267" t="str">
        <f>IF(VLOOKUP($C192,'REA-PPR'!$A$2:$E$149,3,FALSE)="","",VLOOKUP($C192,'REA-PPR'!$A$2:$E$149,3,FALSE))</f>
        <v/>
      </c>
      <c r="T192" s="15" t="str">
        <f>IF(VLOOKUP(C192,'UW Rec Amts'!A:H,2,FALSE),"C","")</f>
        <v>C</v>
      </c>
      <c r="U192" s="378" t="str">
        <f>IF(VLOOKUP($C192,'REA-PPR'!$A$2:$E$149,5,FALSE)="","No",VLOOKUP($C192,'REA-PPR'!$A$2:$E$149,5,FALSE))</f>
        <v>No</v>
      </c>
      <c r="V192" s="320"/>
    </row>
    <row r="193" spans="1:25" ht="12.75">
      <c r="A193" s="24"/>
      <c r="B193" s="120"/>
      <c r="C193" s="390">
        <v>18323</v>
      </c>
      <c r="D193" s="386" t="str">
        <f>VLOOKUP($C193,'DB Link APP'!$A$2:$T$323,2,FALSE)</f>
        <v>Talavera Lofts</v>
      </c>
      <c r="E193" s="386" t="str">
        <f>VLOOKUP($C193,'DB Link APP'!$A$2:$T$323,17,FALSE)</f>
        <v>Janine Sisak</v>
      </c>
      <c r="F193" s="376" t="str">
        <f>VLOOKUP(C193,'DB Link APP'!$A$3:$U$140,8,FALSE)</f>
        <v>Urban</v>
      </c>
      <c r="G193" s="387"/>
      <c r="H193" s="380"/>
      <c r="I193" s="377" t="str">
        <f>IF(VLOOKUP($C193,'DB Link APP'!$A$2:$T$323,11,FALSE)=0,"",VLOOKUP($C193,'DB Link APP'!$A$2:$T$323,11,FALSE))</f>
        <v/>
      </c>
      <c r="J193" s="520" t="str">
        <f>IF(VLOOKUP($C193,'DB Link APP'!$A$2:$N$149,13,FALSE)="General","",VLOOKUP($C193,'DB Link APP'!$A$2:$N$149,13,FALSE))</f>
        <v/>
      </c>
      <c r="K193" s="506">
        <f>VLOOKUP($C193,'DB Link APP'!$A$2:$T$323,16,FALSE)</f>
        <v>1295300</v>
      </c>
      <c r="L193" s="485">
        <f>IF(ISNA(VLOOKUP(C193,'UW Rec Amts'!$A$2:$D$112,4,FALSE)),"",VLOOKUP(C193,'UW Rec Amts'!$A$2:$D$112,4,FALSE))</f>
        <v>1295300</v>
      </c>
      <c r="M193" s="385">
        <f>+SUM(L$188:L193)/K$186</f>
        <v>1.3771570345227138</v>
      </c>
      <c r="N193" s="483">
        <f t="shared" si="27"/>
        <v>0</v>
      </c>
      <c r="O193" s="118"/>
      <c r="P193" s="480"/>
      <c r="Q193" s="468">
        <f>+SUM(N193:P193)</f>
        <v>0</v>
      </c>
      <c r="R193" s="380" t="str">
        <f>+IF(N193&gt;0,"I",IF(O193&gt;0,"R",IF(P193&gt;0,"SW","")))</f>
        <v/>
      </c>
      <c r="S193" s="267" t="str">
        <f>IF(VLOOKUP($C193,'REA-PPR'!$A$2:$E$149,3,FALSE)="","",VLOOKUP($C193,'REA-PPR'!$A$2:$E$149,3,FALSE))</f>
        <v/>
      </c>
      <c r="T193" s="15" t="str">
        <f>IF(VLOOKUP(C193,'UW Rec Amts'!A:H,2,FALSE),"C","")</f>
        <v>C</v>
      </c>
      <c r="U193" s="378" t="str">
        <f>IF(VLOOKUP($C193,'REA-PPR'!$A$2:$E$149,5,FALSE)="","No",VLOOKUP($C193,'REA-PPR'!$A$2:$E$149,5,FALSE))</f>
        <v>No</v>
      </c>
      <c r="V193" s="320"/>
    </row>
    <row r="194" spans="1:25" s="351" customFormat="1" ht="12.75" hidden="1" customHeight="1">
      <c r="A194" s="348" t="e">
        <f>VLOOKUP($C187,#REF!,2,FALSE)</f>
        <v>#REF!</v>
      </c>
      <c r="B194" s="355" t="e">
        <f>VLOOKUP($C187,#REF!,6,FALSE)</f>
        <v>#REF!</v>
      </c>
      <c r="C194" s="408">
        <v>18391</v>
      </c>
      <c r="D194" s="396" t="str">
        <f>VLOOKUP($C194,'DB Link APP'!$A$2:$T$323,2,FALSE)</f>
        <v>Merritt Manor</v>
      </c>
      <c r="E194" s="396" t="str">
        <f>VLOOKUP($C194,'DB Link APP'!$A$2:$T$323,17,FALSE)</f>
        <v>Colby Denison</v>
      </c>
      <c r="F194" s="376" t="str">
        <f>VLOOKUP(C194,'DB Link APP'!$A$3:$U$140,8,FALSE)</f>
        <v>Urban</v>
      </c>
      <c r="G194" s="397"/>
      <c r="H194" s="398"/>
      <c r="I194" s="399" t="s">
        <v>162</v>
      </c>
      <c r="J194" s="530" t="str">
        <f>IF(VLOOKUP($C194,'REA-PPR'!$A$2:$E$149,5,FALSE)="","No",VLOOKUP($C194,'REA-PPR'!$A$2:$E$149,5,FALSE))</f>
        <v>No</v>
      </c>
      <c r="K194" s="511">
        <f>VLOOKUP($C194,'DB Link APP'!$A$2:$T$323,16,FALSE)</f>
        <v>0</v>
      </c>
      <c r="L194" s="501">
        <f>IF(ISNA(VLOOKUP(C194,'UW Rec Amts'!$A$2:$D$112,4,FALSE)),"",VLOOKUP(C194,'UW Rec Amts'!$A$2:$D$112,4,FALSE))</f>
        <v>0</v>
      </c>
      <c r="M194" s="385">
        <f>+SUM(L$188:L194)/K$186</f>
        <v>1.3771570345227138</v>
      </c>
      <c r="N194" s="483">
        <f>+IF(M194&lt;=1,L194,0)</f>
        <v>0</v>
      </c>
      <c r="O194" s="350"/>
      <c r="P194" s="517"/>
      <c r="Q194" s="476">
        <f>+SUM(N194:P194)</f>
        <v>0</v>
      </c>
      <c r="R194" s="398" t="str">
        <f>+IF(N194&gt;0,"I",IF(O194&gt;0,"R",IF(P194&gt;0,"SW","")))</f>
        <v/>
      </c>
      <c r="S194" s="349" t="str">
        <f>IF(VLOOKUP($C194,'REA-PPR'!$A$2:$E$149,3,FALSE)="","",VLOOKUP($C194,'REA-PPR'!$A$2:$E$149,3,FALSE))</f>
        <v/>
      </c>
      <c r="T194" s="351" t="str">
        <f>IF(VLOOKUP(C194,'UW Rec Amts'!A:H,2,FALSE),"C","")</f>
        <v/>
      </c>
      <c r="U194" s="378" t="str">
        <f>IF(VLOOKUP($C194,'REA-PPR'!$A$2:$E$149,5,FALSE)="","No",VLOOKUP($C194,'REA-PPR'!$A$2:$E$149,5,FALSE))</f>
        <v>No</v>
      </c>
      <c r="V194" s="352"/>
      <c r="Y194" s="353"/>
    </row>
    <row r="195" spans="1:25">
      <c r="A195" s="24"/>
      <c r="B195" s="120"/>
      <c r="C195" s="364"/>
      <c r="D195" s="365"/>
      <c r="E195" s="365"/>
      <c r="F195" s="366"/>
      <c r="G195" s="367"/>
      <c r="H195" s="367"/>
      <c r="I195" s="365"/>
      <c r="J195" s="523"/>
      <c r="K195" s="481"/>
      <c r="L195" s="481"/>
      <c r="M195" s="372"/>
      <c r="N195" s="481"/>
      <c r="O195" s="29"/>
      <c r="P195" s="481"/>
      <c r="Q195" s="470"/>
      <c r="R195" s="368"/>
      <c r="U195" s="378"/>
      <c r="V195" s="320"/>
      <c r="Y195" s="15"/>
    </row>
    <row r="196" spans="1:25">
      <c r="A196" s="24"/>
      <c r="B196" s="120"/>
      <c r="J196" s="272" t="s">
        <v>18</v>
      </c>
      <c r="K196" s="465">
        <f>+SUM(K187:K195)</f>
        <v>8000644</v>
      </c>
      <c r="L196" s="498" t="s">
        <v>19</v>
      </c>
      <c r="M196" s="243"/>
      <c r="N196" s="465">
        <f>+SUM(N187:N195)</f>
        <v>5205344</v>
      </c>
      <c r="P196" s="465">
        <f>+SUM(P187:P195)</f>
        <v>1500000</v>
      </c>
      <c r="Q196" s="465">
        <f>+SUM(Q187:Q195)</f>
        <v>6705344</v>
      </c>
      <c r="U196" s="378"/>
      <c r="V196" s="320"/>
      <c r="Y196" s="15"/>
    </row>
    <row r="197" spans="1:25" ht="14.25" customHeight="1">
      <c r="A197" s="27"/>
      <c r="B197" s="27"/>
      <c r="J197" s="524"/>
      <c r="L197" s="498" t="s">
        <v>20</v>
      </c>
      <c r="M197" s="243"/>
      <c r="N197" s="25">
        <f>1-SUM($N196:N196)/$K186</f>
        <v>0.10400011465194536</v>
      </c>
      <c r="O197" s="25"/>
      <c r="P197" s="25">
        <f>1-SUM($N196:P196)/$K186</f>
        <v>-0.15419604453024927</v>
      </c>
      <c r="Q197" s="25">
        <f>1-SUM($Q196:Q196)/$K186</f>
        <v>-0.15419604453024927</v>
      </c>
      <c r="U197" s="378"/>
      <c r="Y197" s="15"/>
    </row>
    <row r="198" spans="1:25" ht="6" customHeight="1">
      <c r="J198" s="524"/>
      <c r="M198" s="243"/>
      <c r="U198" s="378"/>
      <c r="Y198" s="15"/>
    </row>
    <row r="199" spans="1:25" ht="15.75">
      <c r="C199" s="354" t="s">
        <v>49</v>
      </c>
      <c r="D199" s="31" t="s">
        <v>6</v>
      </c>
      <c r="J199" s="272" t="str">
        <f>+J186</f>
        <v>Available</v>
      </c>
      <c r="K199" s="465">
        <f>+CEILING!L48</f>
        <v>625026.87132651638</v>
      </c>
      <c r="M199" s="243"/>
      <c r="O199" s="15" t="s">
        <v>134</v>
      </c>
      <c r="U199" s="378"/>
      <c r="Y199" s="15"/>
    </row>
    <row r="200" spans="1:25">
      <c r="C200" s="28"/>
      <c r="D200" s="29"/>
      <c r="E200" s="29"/>
      <c r="F200" s="88"/>
      <c r="G200" s="30"/>
      <c r="H200" s="30"/>
      <c r="I200" s="29"/>
      <c r="J200" s="528"/>
      <c r="K200" s="486"/>
      <c r="L200" s="486"/>
      <c r="M200" s="244"/>
      <c r="N200" s="486"/>
      <c r="O200" s="29"/>
      <c r="P200" s="30"/>
      <c r="Q200" s="474"/>
      <c r="R200" s="27"/>
      <c r="U200" s="378"/>
      <c r="Y200" s="15"/>
    </row>
    <row r="201" spans="1:25" ht="12.75" customHeight="1">
      <c r="C201" s="255">
        <v>18126</v>
      </c>
      <c r="D201" s="125" t="str">
        <f>VLOOKUP($C201,'DB Link APP'!$A$2:$T$323,2,FALSE)</f>
        <v>Caldwell Heights</v>
      </c>
      <c r="E201" s="125" t="str">
        <f>VLOOKUP($C201,'DB Link APP'!$A$2:$T$323,17,FALSE)</f>
        <v>Butch Richardson</v>
      </c>
      <c r="F201" s="117" t="str">
        <f>VLOOKUP(C201,'DB Link APP'!$A$3:$U$119,8,FALSE)</f>
        <v>Rural</v>
      </c>
      <c r="G201" s="126"/>
      <c r="H201" s="122"/>
      <c r="I201" s="262" t="str">
        <f>IF(VLOOKUP($C201,'DB Link APP'!$A$2:$T$323,11,FALSE)=0,"",VLOOKUP($C201,'DB Link APP'!$A$2:$T$323,11,FALSE))</f>
        <v/>
      </c>
      <c r="J201" s="520" t="str">
        <f>IF(VLOOKUP($C201,'DB Link APP'!$A$2:$N$149,13,FALSE)="General","",VLOOKUP($C201,'DB Link APP'!$A$2:$N$149,13,FALSE))</f>
        <v/>
      </c>
      <c r="K201" s="509">
        <f>VLOOKUP($C201,'DB Link APP'!$A$2:$T$323,16,FALSE)</f>
        <v>818762</v>
      </c>
      <c r="L201" s="500">
        <f>IF(ISNA(VLOOKUP(C201,'UW Rec Amts'!$A$2:$D$112,4,FALSE)),"",VLOOKUP(C201,'UW Rec Amts'!$A$2:$D$112,4,FALSE))</f>
        <v>818762</v>
      </c>
      <c r="M201" s="246">
        <f>+SUM(L$201:L201)/K$199</f>
        <v>1.3099628792955937</v>
      </c>
      <c r="N201" s="488">
        <f>+IF(M201&lt;=1,L201,0)</f>
        <v>0</v>
      </c>
      <c r="O201" s="518">
        <f>L201</f>
        <v>818762</v>
      </c>
      <c r="P201" s="518"/>
      <c r="Q201" s="477">
        <f>+SUM(N201:P201)</f>
        <v>818762</v>
      </c>
      <c r="R201" s="122" t="str">
        <f>+IF(N201&gt;0,"I",IF(O201&gt;0,"R",IF(P201&gt;0,"SW","")))</f>
        <v>R</v>
      </c>
      <c r="S201" s="267" t="str">
        <f>IF(VLOOKUP($C201,'REA-PPR'!$A$2:$E$149,3,FALSE)="","",VLOOKUP($C201,'REA-PPR'!$A$2:$E$149,3,FALSE))</f>
        <v/>
      </c>
      <c r="T201" s="15" t="str">
        <f>IF(VLOOKUP(C201,'UW Rec Amts'!A:H,2,FALSE),"C","")</f>
        <v>C</v>
      </c>
      <c r="U201" s="378" t="str">
        <f>IF(VLOOKUP($C201,'REA-PPR'!$A$2:$E$149,5,FALSE)="","No",VLOOKUP($C201,'REA-PPR'!$A$2:$E$149,5,FALSE))</f>
        <v>No</v>
      </c>
      <c r="Y201" s="15"/>
    </row>
    <row r="202" spans="1:25">
      <c r="A202" s="24"/>
      <c r="B202" s="120"/>
      <c r="C202" s="28"/>
      <c r="D202" s="29"/>
      <c r="E202" s="29"/>
      <c r="F202" s="88"/>
      <c r="G202" s="30"/>
      <c r="H202" s="30"/>
      <c r="I202" s="29"/>
      <c r="J202" s="528"/>
      <c r="K202" s="486"/>
      <c r="L202" s="486"/>
      <c r="M202" s="244"/>
      <c r="N202" s="486"/>
      <c r="O202" s="486"/>
      <c r="P202" s="486"/>
      <c r="Q202" s="474"/>
      <c r="R202" s="27"/>
      <c r="U202" s="378"/>
      <c r="V202" s="282"/>
      <c r="Y202" s="15"/>
    </row>
    <row r="203" spans="1:25">
      <c r="A203" s="24"/>
      <c r="B203" s="120"/>
      <c r="J203" s="272" t="s">
        <v>18</v>
      </c>
      <c r="K203" s="465">
        <f>+SUM(K200:K202)</f>
        <v>818762</v>
      </c>
      <c r="L203" s="498" t="s">
        <v>19</v>
      </c>
      <c r="M203" s="243"/>
      <c r="N203" s="465">
        <f>+SUM(N200:N202)</f>
        <v>0</v>
      </c>
      <c r="O203" s="465">
        <f>+SUM(O200:O202)</f>
        <v>818762</v>
      </c>
      <c r="P203" s="465">
        <f>+SUM(P200:P202)</f>
        <v>0</v>
      </c>
      <c r="Q203" s="465">
        <f>+SUM(Q200:Q202)</f>
        <v>818762</v>
      </c>
      <c r="U203" s="378"/>
      <c r="V203" s="282"/>
      <c r="Y203" s="15"/>
    </row>
    <row r="204" spans="1:25" ht="15.75" customHeight="1">
      <c r="A204" s="27"/>
      <c r="B204" s="27"/>
      <c r="J204" s="524"/>
      <c r="L204" s="498" t="s">
        <v>20</v>
      </c>
      <c r="M204" s="243"/>
      <c r="N204" s="25">
        <f>1-SUM($N203:N203)/$K199</f>
        <v>1</v>
      </c>
      <c r="O204" s="25">
        <f>1-SUM($N203:O203)/$K199</f>
        <v>-0.30996287929559374</v>
      </c>
      <c r="P204" s="25">
        <f>1-SUM($N203:P203)/$K199</f>
        <v>-0.30996287929559374</v>
      </c>
      <c r="Q204" s="25">
        <f>1-SUM($Q203:Q203)/$K199</f>
        <v>-0.30996287929559374</v>
      </c>
      <c r="U204" s="378"/>
      <c r="Y204" s="15"/>
    </row>
    <row r="205" spans="1:25" ht="6.75" customHeight="1">
      <c r="J205" s="524"/>
      <c r="M205" s="243"/>
      <c r="U205" s="378"/>
      <c r="Y205" s="15"/>
    </row>
    <row r="206" spans="1:25" ht="15.75">
      <c r="C206" s="354" t="s">
        <v>49</v>
      </c>
      <c r="D206" s="31" t="s">
        <v>14</v>
      </c>
      <c r="J206" s="272" t="str">
        <f>+J199</f>
        <v>Available</v>
      </c>
      <c r="K206" s="465">
        <f>+CEILING!L34</f>
        <v>1650657.5714540656</v>
      </c>
      <c r="M206" s="243"/>
      <c r="U206" s="378"/>
      <c r="Y206" s="15"/>
    </row>
    <row r="207" spans="1:25">
      <c r="C207" s="28"/>
      <c r="D207" s="29"/>
      <c r="E207" s="29"/>
      <c r="F207" s="88"/>
      <c r="G207" s="30"/>
      <c r="H207" s="30"/>
      <c r="I207" s="29"/>
      <c r="J207" s="528"/>
      <c r="K207" s="486"/>
      <c r="L207" s="486"/>
      <c r="M207" s="244"/>
      <c r="N207" s="486"/>
      <c r="O207" s="29"/>
      <c r="P207" s="30"/>
      <c r="Q207" s="474"/>
      <c r="R207" s="27"/>
      <c r="U207" s="378"/>
      <c r="Y207" s="15"/>
    </row>
    <row r="208" spans="1:25" ht="12.75">
      <c r="A208" s="24"/>
      <c r="B208" s="120"/>
      <c r="C208" s="326">
        <v>18058</v>
      </c>
      <c r="D208" s="125" t="str">
        <f>VLOOKUP($C208,'DB Link APP'!$A$2:$T$323,2,FALSE)</f>
        <v>Huntington at College Station</v>
      </c>
      <c r="E208" s="125" t="str">
        <f>VLOOKUP($C208,'DB Link APP'!$A$2:$T$323,17,FALSE)</f>
        <v>R. Hunter Goodwin</v>
      </c>
      <c r="F208" s="117" t="str">
        <f>VLOOKUP(C208,'DB Link APP'!$A$3:$U$119,8,FALSE)</f>
        <v>Urban</v>
      </c>
      <c r="G208" s="126"/>
      <c r="H208" s="122"/>
      <c r="I208" s="262" t="str">
        <f>IF(VLOOKUP($C208,'DB Link APP'!$A$2:$T$323,11,FALSE)=0,"",VLOOKUP($C208,'DB Link APP'!$A$2:$T$323,11,FALSE))</f>
        <v/>
      </c>
      <c r="J208" s="520" t="str">
        <f>IF(VLOOKUP($C208,'DB Link APP'!$A$2:$N$149,13,FALSE)="General","",VLOOKUP($C208,'DB Link APP'!$A$2:$N$149,13,FALSE))</f>
        <v>Elderly Limitation</v>
      </c>
      <c r="K208" s="512">
        <f>VLOOKUP($C208,'DB Link APP'!$A$2:$T$323,16,FALSE)</f>
        <v>1500000</v>
      </c>
      <c r="L208" s="500">
        <f>IF(ISNA(VLOOKUP(C208,'UW Rec Amts'!$A$2:$D$112,4,FALSE)),"",VLOOKUP(C208,'UW Rec Amts'!$A$2:$D$112,4,FALSE))</f>
        <v>1500000</v>
      </c>
      <c r="M208" s="246">
        <f>+SUM(L$208:L208)/K$206</f>
        <v>0.90872875509767226</v>
      </c>
      <c r="N208" s="488">
        <f>+IF(M208&lt;=1,L208,0)</f>
        <v>1500000</v>
      </c>
      <c r="O208" s="118"/>
      <c r="P208" s="518"/>
      <c r="Q208" s="477">
        <f>+SUM(N208:P208)</f>
        <v>1500000</v>
      </c>
      <c r="R208" s="122" t="str">
        <f>+IF(N208&gt;0,"I",IF(O208&gt;0,"R",IF(P208&gt;0,"SW","")))</f>
        <v>I</v>
      </c>
      <c r="S208" s="267" t="str">
        <f>IF(VLOOKUP($C208,'REA-PPR'!$A$2:$E$149,3,FALSE)="","",VLOOKUP($C208,'REA-PPR'!$A$2:$E$149,3,FALSE))</f>
        <v/>
      </c>
      <c r="T208" s="15" t="str">
        <f>IF(VLOOKUP(C208,'UW Rec Amts'!A:H,2,FALSE),"C","")</f>
        <v>C</v>
      </c>
      <c r="U208" s="378" t="str">
        <f>IF(VLOOKUP($C208,'REA-PPR'!$A$2:$E$149,5,FALSE)="","No",VLOOKUP($C208,'REA-PPR'!$A$2:$E$149,5,FALSE))</f>
        <v>No</v>
      </c>
      <c r="V208" s="320"/>
      <c r="Y208" s="15"/>
    </row>
    <row r="209" spans="1:25">
      <c r="A209" s="24"/>
      <c r="B209" s="120"/>
      <c r="C209" s="28"/>
      <c r="D209" s="29"/>
      <c r="E209" s="29"/>
      <c r="F209" s="27"/>
      <c r="G209" s="30"/>
      <c r="H209" s="30"/>
      <c r="I209" s="29"/>
      <c r="J209" s="528"/>
      <c r="K209" s="486"/>
      <c r="L209" s="486"/>
      <c r="M209" s="244"/>
      <c r="N209" s="486"/>
      <c r="O209" s="29"/>
      <c r="P209" s="486"/>
      <c r="Q209" s="474"/>
      <c r="R209" s="27"/>
      <c r="U209" s="378"/>
      <c r="V209" s="320"/>
      <c r="Y209" s="15"/>
    </row>
    <row r="210" spans="1:25">
      <c r="A210" s="24"/>
      <c r="B210" s="120"/>
      <c r="J210" s="272" t="s">
        <v>18</v>
      </c>
      <c r="K210" s="465">
        <f>+SUM(K207:K209)</f>
        <v>1500000</v>
      </c>
      <c r="L210" s="498" t="s">
        <v>19</v>
      </c>
      <c r="M210" s="243"/>
      <c r="N210" s="465">
        <f>+SUM(N207:N209)</f>
        <v>1500000</v>
      </c>
      <c r="P210" s="465">
        <f>+SUM(P207:P209)</f>
        <v>0</v>
      </c>
      <c r="Q210" s="465">
        <f>+SUM(Q207:Q209)</f>
        <v>1500000</v>
      </c>
      <c r="U210" s="378"/>
      <c r="V210" s="283"/>
      <c r="Y210" s="15"/>
    </row>
    <row r="211" spans="1:25" ht="15" customHeight="1">
      <c r="A211" s="27"/>
      <c r="B211" s="27"/>
      <c r="J211" s="524"/>
      <c r="L211" s="498" t="s">
        <v>20</v>
      </c>
      <c r="M211" s="243"/>
      <c r="N211" s="25">
        <f>1-SUM($N210:N210)/$K206</f>
        <v>9.1271244902327742E-2</v>
      </c>
      <c r="O211" s="25"/>
      <c r="P211" s="25">
        <f>1-SUM($N210:P210)/$K206</f>
        <v>9.1271244902327742E-2</v>
      </c>
      <c r="Q211" s="25">
        <f>1-SUM($Q210:Q210)/$K206</f>
        <v>9.1271244902327742E-2</v>
      </c>
      <c r="U211" s="378"/>
      <c r="Y211" s="15"/>
    </row>
    <row r="212" spans="1:25">
      <c r="J212" s="524"/>
      <c r="M212" s="243"/>
      <c r="U212" s="378"/>
      <c r="Y212" s="15"/>
    </row>
    <row r="213" spans="1:25" ht="15.75">
      <c r="C213" s="354" t="s">
        <v>50</v>
      </c>
      <c r="D213" s="31" t="s">
        <v>6</v>
      </c>
      <c r="J213" s="272" t="str">
        <f>+J206</f>
        <v>Available</v>
      </c>
      <c r="K213" s="465">
        <f>+CEILING!L49</f>
        <v>507742.14727305964</v>
      </c>
      <c r="M213" s="243"/>
      <c r="U213" s="378"/>
      <c r="Y213" s="15"/>
    </row>
    <row r="214" spans="1:25">
      <c r="C214" s="361"/>
      <c r="D214" s="357"/>
      <c r="E214" s="357"/>
      <c r="F214" s="356"/>
      <c r="G214" s="362"/>
      <c r="H214" s="362"/>
      <c r="I214" s="357"/>
      <c r="J214" s="522"/>
      <c r="K214" s="471"/>
      <c r="L214" s="502"/>
      <c r="M214" s="400"/>
      <c r="N214" s="489"/>
      <c r="O214" s="357"/>
      <c r="P214" s="362"/>
      <c r="Q214" s="467"/>
      <c r="R214" s="363"/>
      <c r="U214" s="378"/>
      <c r="Y214" s="15"/>
    </row>
    <row r="215" spans="1:25">
      <c r="C215" s="382">
        <v>18369</v>
      </c>
      <c r="D215" s="376" t="str">
        <f>VLOOKUP($C215,'DB Link APP'!$A$2:$T$323,2,FALSE)</f>
        <v>The Residences at Canyon Lake</v>
      </c>
      <c r="E215" s="376" t="str">
        <f>VLOOKUP($C215,'DB Link APP'!$A$2:$T$323,17,FALSE)</f>
        <v>Sally Roth</v>
      </c>
      <c r="F215" s="376" t="str">
        <f>VLOOKUP(C215,'DB Link APP'!$A$3:$U$140,8,FALSE)</f>
        <v>Rural</v>
      </c>
      <c r="G215" s="383"/>
      <c r="H215" s="384"/>
      <c r="I215" s="377" t="str">
        <f>IF(VLOOKUP($C215,'DB Link APP'!$A$2:$T$323,11,FALSE)=0,"",VLOOKUP($C215,'DB Link APP'!$A$2:$T$323,11,FALSE))</f>
        <v/>
      </c>
      <c r="J215" s="520" t="str">
        <f>IF(VLOOKUP($C215,'DB Link APP'!$A$2:$N$149,13,FALSE)="General","",VLOOKUP($C215,'DB Link APP'!$A$2:$N$149,13,FALSE))</f>
        <v>Elderly Limitation</v>
      </c>
      <c r="K215" s="507">
        <f>VLOOKUP($C215,'DB Link APP'!$A$2:$T$323,16,FALSE)</f>
        <v>500000</v>
      </c>
      <c r="L215" s="485">
        <f>IF(ISNA(VLOOKUP(C215,'UW Rec Amts'!$A$2:$D$112,4,FALSE)),"",VLOOKUP(C215,'UW Rec Amts'!$A$2:$D$112,4,FALSE))</f>
        <v>500000</v>
      </c>
      <c r="M215" s="385">
        <f>+SUM(L$215:L215)/K$213</f>
        <v>0.98475181287462432</v>
      </c>
      <c r="N215" s="485">
        <f>+IF(M215&lt;=1,L215,0)</f>
        <v>500000</v>
      </c>
      <c r="O215" s="480"/>
      <c r="P215" s="480"/>
      <c r="Q215" s="469">
        <f>+SUM(N215:P215)</f>
        <v>500000</v>
      </c>
      <c r="R215" s="384" t="str">
        <f>+IF(N215&gt;0,"I",IF(O215&gt;0,"R",IF(P215&gt;0,"SW","")))</f>
        <v>I</v>
      </c>
      <c r="S215" s="267" t="str">
        <f>IF(VLOOKUP($C215,'REA-PPR'!$A$2:$E$149,3,FALSE)="","",VLOOKUP($C215,'REA-PPR'!$A$2:$E$149,3,FALSE))</f>
        <v/>
      </c>
      <c r="T215" s="15" t="str">
        <f>IF(VLOOKUP(C215,'UW Rec Amts'!A:H,2,FALSE),"C","")</f>
        <v>C</v>
      </c>
      <c r="U215" s="378" t="str">
        <f>IF(VLOOKUP($C215,'REA-PPR'!$A$2:$E$149,5,FALSE)="","No",VLOOKUP($C215,'REA-PPR'!$A$2:$E$149,5,FALSE))</f>
        <v>No</v>
      </c>
      <c r="V215" s="338"/>
      <c r="Y215" s="15"/>
    </row>
    <row r="216" spans="1:25">
      <c r="C216" s="382">
        <v>18019</v>
      </c>
      <c r="D216" s="376" t="str">
        <f>VLOOKUP($C216,'DB Link APP'!$A$2:$T$323,2,FALSE)</f>
        <v>Highlander Senior Village</v>
      </c>
      <c r="E216" s="376" t="str">
        <f>VLOOKUP($C216,'DB Link APP'!$A$2:$T$323,17,FALSE)</f>
        <v>Brian Kimes</v>
      </c>
      <c r="F216" s="376" t="str">
        <f>VLOOKUP(C216,'DB Link APP'!$A$3:$U$119,8,FALSE)</f>
        <v>Rural</v>
      </c>
      <c r="G216" s="383"/>
      <c r="H216" s="384"/>
      <c r="I216" s="377" t="str">
        <f>IF(VLOOKUP($C216,'DB Link APP'!$A$2:$T$323,11,FALSE)=0,"",VLOOKUP($C216,'DB Link APP'!$A$2:$T$323,11,FALSE))</f>
        <v/>
      </c>
      <c r="J216" s="520" t="str">
        <f>IF(VLOOKUP($C216,'DB Link APP'!$A$2:$N$149,13,FALSE)="General","",VLOOKUP($C216,'DB Link APP'!$A$2:$N$149,13,FALSE))</f>
        <v>Elderly Limitation</v>
      </c>
      <c r="K216" s="507">
        <f>VLOOKUP($C216,'DB Link APP'!$A$2:$T$323,16,FALSE)</f>
        <v>500000</v>
      </c>
      <c r="L216" s="485">
        <f>IF(ISNA(VLOOKUP(C216,'UW Rec Amts'!$A$2:$D$112,4,FALSE)),"",VLOOKUP(C216,'UW Rec Amts'!$A$2:$D$112,4,FALSE))</f>
        <v>500000</v>
      </c>
      <c r="M216" s="385">
        <f>+SUM(L$215:L216)/K$213</f>
        <v>1.9695036257492486</v>
      </c>
      <c r="N216" s="485">
        <f>+IF(M216&lt;=1,L216,0)</f>
        <v>0</v>
      </c>
      <c r="O216" s="480">
        <f>L216</f>
        <v>500000</v>
      </c>
      <c r="P216" s="480"/>
      <c r="Q216" s="469">
        <f>+SUM(N216:P216)</f>
        <v>500000</v>
      </c>
      <c r="R216" s="384" t="str">
        <f>+IF(N216&gt;0,"I",IF(O216&gt;0,"R",IF(P216&gt;0,"SW","")))</f>
        <v>R</v>
      </c>
      <c r="S216" s="267" t="str">
        <f>IF(VLOOKUP($C216,'REA-PPR'!$A$2:$E$149,3,FALSE)="","",VLOOKUP($C216,'REA-PPR'!$A$2:$E$149,3,FALSE))</f>
        <v/>
      </c>
      <c r="T216" s="15" t="str">
        <f>IF(VLOOKUP(C216,'UW Rec Amts'!A:H,2,FALSE),"C","")</f>
        <v>C</v>
      </c>
      <c r="U216" s="378" t="str">
        <f>IF(VLOOKUP($C216,'REA-PPR'!$A$2:$E$149,5,FALSE)="","No",VLOOKUP($C216,'REA-PPR'!$A$2:$E$149,5,FALSE))</f>
        <v>No</v>
      </c>
      <c r="Y216" s="15"/>
    </row>
    <row r="217" spans="1:25" ht="15.75" customHeight="1">
      <c r="A217" s="24" t="e">
        <f>VLOOKUP($C214,#REF!,2,FALSE)</f>
        <v>#REF!</v>
      </c>
      <c r="B217" s="24" t="e">
        <f>VLOOKUP($C214,#REF!,6,FALSE)</f>
        <v>#REF!</v>
      </c>
      <c r="C217" s="364"/>
      <c r="D217" s="365"/>
      <c r="E217" s="365"/>
      <c r="F217" s="366"/>
      <c r="G217" s="367"/>
      <c r="H217" s="367"/>
      <c r="I217" s="365"/>
      <c r="J217" s="523"/>
      <c r="K217" s="481"/>
      <c r="L217" s="503"/>
      <c r="M217" s="401"/>
      <c r="N217" s="490"/>
      <c r="O217" s="481"/>
      <c r="P217" s="481"/>
      <c r="Q217" s="470"/>
      <c r="R217" s="368"/>
      <c r="U217" s="378"/>
      <c r="Y217" s="15"/>
    </row>
    <row r="218" spans="1:25" s="259" customFormat="1">
      <c r="A218" s="257"/>
      <c r="B218" s="258"/>
      <c r="C218" s="338"/>
      <c r="D218" s="15"/>
      <c r="E218" s="15"/>
      <c r="F218" s="87"/>
      <c r="G218" s="16"/>
      <c r="H218" s="16"/>
      <c r="I218" s="15"/>
      <c r="J218" s="272" t="s">
        <v>18</v>
      </c>
      <c r="K218" s="465">
        <f>+SUM(K214:K217)</f>
        <v>1000000</v>
      </c>
      <c r="L218" s="498" t="s">
        <v>19</v>
      </c>
      <c r="M218" s="243"/>
      <c r="N218" s="465">
        <f>+SUM(N214:N217)</f>
        <v>500000</v>
      </c>
      <c r="O218" s="465">
        <f>+SUM(O214:O217)</f>
        <v>500000</v>
      </c>
      <c r="P218" s="465">
        <f>+SUM(P214:P217)</f>
        <v>0</v>
      </c>
      <c r="Q218" s="465">
        <f>+SUM(Q214:Q217)</f>
        <v>1000000</v>
      </c>
      <c r="R218" s="26"/>
      <c r="S218" s="15"/>
      <c r="T218" s="15"/>
      <c r="U218" s="378"/>
      <c r="V218" s="320"/>
      <c r="W218" s="15"/>
      <c r="X218" s="15"/>
    </row>
    <row r="219" spans="1:25" ht="15.75" customHeight="1">
      <c r="A219" s="27"/>
      <c r="B219" s="27"/>
      <c r="J219" s="524"/>
      <c r="L219" s="498" t="s">
        <v>20</v>
      </c>
      <c r="M219" s="243"/>
      <c r="N219" s="25">
        <f>1-SUM($N218:N218)/$K213</f>
        <v>1.5248187125375678E-2</v>
      </c>
      <c r="O219" s="25">
        <f>1-SUM($N218:O218)/$K213</f>
        <v>-0.96950362574924864</v>
      </c>
      <c r="P219" s="25">
        <f>1-SUM($N218:P218)/$K213</f>
        <v>-0.96950362574924864</v>
      </c>
      <c r="Q219" s="25">
        <f>1-SUM($Q218:Q218)/$K213</f>
        <v>-0.96950362574924864</v>
      </c>
      <c r="U219" s="378"/>
      <c r="Y219" s="15"/>
    </row>
    <row r="220" spans="1:25">
      <c r="J220" s="524"/>
      <c r="M220" s="243"/>
      <c r="U220" s="378"/>
      <c r="Y220" s="15"/>
    </row>
    <row r="221" spans="1:25" ht="15.75">
      <c r="C221" s="354" t="s">
        <v>50</v>
      </c>
      <c r="D221" s="31" t="s">
        <v>14</v>
      </c>
      <c r="J221" s="272" t="str">
        <f>+J213</f>
        <v>Available</v>
      </c>
      <c r="K221" s="465">
        <f>+CEILING!L35</f>
        <v>5441724.333365106</v>
      </c>
      <c r="M221" s="243"/>
      <c r="U221" s="378"/>
      <c r="Y221" s="15"/>
    </row>
    <row r="222" spans="1:25">
      <c r="C222" s="361"/>
      <c r="D222" s="357"/>
      <c r="E222" s="357"/>
      <c r="F222" s="356"/>
      <c r="G222" s="362"/>
      <c r="H222" s="362"/>
      <c r="I222" s="357"/>
      <c r="J222" s="522"/>
      <c r="K222" s="471"/>
      <c r="L222" s="471"/>
      <c r="M222" s="370"/>
      <c r="N222" s="471"/>
      <c r="O222" s="29"/>
      <c r="P222" s="362"/>
      <c r="Q222" s="467"/>
      <c r="R222" s="363"/>
      <c r="U222" s="378"/>
      <c r="Y222" s="15"/>
    </row>
    <row r="223" spans="1:25" ht="12.75">
      <c r="A223" s="24"/>
      <c r="B223" s="120"/>
      <c r="C223" s="390">
        <v>18273</v>
      </c>
      <c r="D223" s="386" t="str">
        <f>VLOOKUP($C223,'DB Link APP'!$A$2:$T$323,2,FALSE)</f>
        <v>Museum Reach Lofts</v>
      </c>
      <c r="E223" s="386" t="str">
        <f>VLOOKUP($C223,'DB Link APP'!$A$2:$T$323,17,FALSE)</f>
        <v>Jennifer Gonzalez</v>
      </c>
      <c r="F223" s="376" t="str">
        <f>VLOOKUP(C223,'DB Link APP'!$A$3:$U$119,8,FALSE)</f>
        <v>Urban</v>
      </c>
      <c r="G223" s="387"/>
      <c r="H223" s="380"/>
      <c r="I223" s="377" t="s">
        <v>162</v>
      </c>
      <c r="J223" s="520" t="str">
        <f>IF(VLOOKUP($C223,'DB Link APP'!$A$2:$N$149,13,FALSE)="General","",VLOOKUP($C223,'DB Link APP'!$A$2:$N$149,13,FALSE))</f>
        <v/>
      </c>
      <c r="K223" s="506">
        <f>VLOOKUP($C223,'DB Link APP'!$A$2:$T$323,16,FALSE)</f>
        <v>1182642</v>
      </c>
      <c r="L223" s="485">
        <f>IF(ISNA(VLOOKUP(C223,'UW Rec Amts'!$A$2:$D$112,4,FALSE)),"",VLOOKUP(C223,'UW Rec Amts'!$A$2:$D$112,4,FALSE))</f>
        <v>1161298</v>
      </c>
      <c r="M223" s="385">
        <f>+SUM(L$223:L223)/K$221</f>
        <v>0.2134062530289669</v>
      </c>
      <c r="N223" s="483">
        <f>+IF(M223&lt;=1,L223,0)</f>
        <v>1161298</v>
      </c>
      <c r="O223" s="118"/>
      <c r="P223" s="480"/>
      <c r="Q223" s="468">
        <f t="shared" ref="Q223" si="33">+SUM(N223:P223)</f>
        <v>1161298</v>
      </c>
      <c r="R223" s="380" t="str">
        <f t="shared" ref="R223" si="34">+IF(N223&gt;0,"I",IF(O223&gt;0,"R",IF(P223&gt;0,"SW","")))</f>
        <v>I</v>
      </c>
      <c r="S223" s="267" t="str">
        <f>IF(VLOOKUP($C223,'REA-PPR'!$A$2:$E$149,3,FALSE)="","",VLOOKUP($C223,'REA-PPR'!$A$2:$E$149,3,FALSE))</f>
        <v/>
      </c>
      <c r="T223" s="15" t="str">
        <f>IF(VLOOKUP(C223,'UW Rec Amts'!A:H,2,FALSE),"C","")</f>
        <v>C</v>
      </c>
      <c r="U223" s="378" t="str">
        <f>IF(VLOOKUP($C223,'REA-PPR'!$A$2:$E$149,5,FALSE)="","No",VLOOKUP($C223,'REA-PPR'!$A$2:$E$149,5,FALSE))</f>
        <v>No</v>
      </c>
      <c r="V223" s="338"/>
      <c r="W223" s="338"/>
      <c r="X223" s="338"/>
      <c r="Y223" s="15"/>
    </row>
    <row r="224" spans="1:25" ht="12.75">
      <c r="A224" s="24"/>
      <c r="B224" s="120"/>
      <c r="C224" s="390">
        <v>18084</v>
      </c>
      <c r="D224" s="386" t="str">
        <f>VLOOKUP($C224,'DB Link APP'!$A$2:$T$323,2,FALSE)</f>
        <v>Artisan at Ruiz</v>
      </c>
      <c r="E224" s="386" t="str">
        <f>VLOOKUP($C224,'DB Link APP'!$A$2:$T$323,17,FALSE)</f>
        <v>Lucila Diaz</v>
      </c>
      <c r="F224" s="376" t="str">
        <f>VLOOKUP(C224,'DB Link APP'!$A$3:$U$119,8,FALSE)</f>
        <v>Urban</v>
      </c>
      <c r="G224" s="387"/>
      <c r="H224" s="380"/>
      <c r="I224" s="377" t="s">
        <v>162</v>
      </c>
      <c r="J224" s="520" t="str">
        <f>IF(VLOOKUP($C224,'DB Link APP'!$A$2:$N$149,13,FALSE)="General","",VLOOKUP($C224,'DB Link APP'!$A$2:$N$149,13,FALSE))</f>
        <v/>
      </c>
      <c r="K224" s="506">
        <f>VLOOKUP($C224,'DB Link APP'!$A$2:$T$323,16,FALSE)</f>
        <v>1500000</v>
      </c>
      <c r="L224" s="485">
        <f>IF(ISNA(VLOOKUP(C224,'UW Rec Amts'!$A$2:$D$112,4,FALSE)),"",VLOOKUP(C224,'UW Rec Amts'!$A$2:$D$112,4,FALSE))</f>
        <v>1500000</v>
      </c>
      <c r="M224" s="385">
        <f>+SUM(L$223:L224)/K$221</f>
        <v>0.48905417418568148</v>
      </c>
      <c r="N224" s="483">
        <f t="shared" ref="N224:N231" si="35">+IF(M224&lt;=1,L224,0)</f>
        <v>1500000</v>
      </c>
      <c r="O224" s="118"/>
      <c r="P224" s="480"/>
      <c r="Q224" s="468">
        <f>+SUM(N224:P224)</f>
        <v>1500000</v>
      </c>
      <c r="R224" s="380" t="str">
        <f>+IF(N224&gt;0,"I",IF(O224&gt;0,"R",IF(P224&gt;0,"SW","")))</f>
        <v>I</v>
      </c>
      <c r="S224" s="267" t="str">
        <f>IF(VLOOKUP($C224,'REA-PPR'!$A$2:$E$149,3,FALSE)="","",VLOOKUP($C224,'REA-PPR'!$A$2:$E$149,3,FALSE))</f>
        <v/>
      </c>
      <c r="T224" s="15" t="str">
        <f>IF(VLOOKUP(C224,'UW Rec Amts'!A:H,2,FALSE),"C","")</f>
        <v>C</v>
      </c>
      <c r="U224" s="378" t="str">
        <f>IF(VLOOKUP($C224,'REA-PPR'!$A$2:$E$149,5,FALSE)="","No",VLOOKUP($C224,'REA-PPR'!$A$2:$E$149,5,FALSE))</f>
        <v>No</v>
      </c>
      <c r="V224" s="283"/>
      <c r="W224" s="283"/>
      <c r="X224" s="283"/>
      <c r="Y224" s="15"/>
    </row>
    <row r="225" spans="1:25" ht="12.75">
      <c r="A225" s="24"/>
      <c r="B225" s="120"/>
      <c r="C225" s="390">
        <v>18289</v>
      </c>
      <c r="D225" s="386" t="str">
        <f>VLOOKUP($C225,'DB Link APP'!$A$2:$T$323,2,FALSE)</f>
        <v>Village at Roosevelt</v>
      </c>
      <c r="E225" s="386" t="str">
        <f>VLOOKUP($C225,'DB Link APP'!$A$2:$T$323,17,FALSE)</f>
        <v>Roger Canales</v>
      </c>
      <c r="F225" s="376" t="str">
        <f>VLOOKUP(C225,'DB Link APP'!$A$3:$U$119,8,FALSE)</f>
        <v>Urban</v>
      </c>
      <c r="G225" s="387"/>
      <c r="H225" s="380"/>
      <c r="I225" s="377" t="s">
        <v>162</v>
      </c>
      <c r="J225" s="520" t="str">
        <f>IF(VLOOKUP($C225,'DB Link APP'!$A$2:$N$149,13,FALSE)="General","",VLOOKUP($C225,'DB Link APP'!$A$2:$N$149,13,FALSE))</f>
        <v/>
      </c>
      <c r="K225" s="506">
        <f>VLOOKUP($C225,'DB Link APP'!$A$2:$T$323,16,FALSE)</f>
        <v>975000</v>
      </c>
      <c r="L225" s="485">
        <f>IF(ISNA(VLOOKUP(C225,'UW Rec Amts'!$A$2:$D$112,4,FALSE)),"",VLOOKUP(C225,'UW Rec Amts'!$A$2:$D$112,4,FALSE))</f>
        <v>975000</v>
      </c>
      <c r="M225" s="385">
        <f>+SUM(L$223:L225)/K$221</f>
        <v>0.668225322937546</v>
      </c>
      <c r="N225" s="483">
        <f t="shared" si="35"/>
        <v>975000</v>
      </c>
      <c r="O225" s="118"/>
      <c r="P225" s="480"/>
      <c r="Q225" s="468">
        <f>+SUM(N225:P225)</f>
        <v>975000</v>
      </c>
      <c r="R225" s="380" t="str">
        <f>+IF(N225&gt;0,"I",IF(O225&gt;0,"R",IF(P225&gt;0,"SW","")))</f>
        <v>I</v>
      </c>
      <c r="S225" s="267" t="str">
        <f>IF(VLOOKUP($C225,'REA-PPR'!$A$2:$E$149,3,FALSE)="","",VLOOKUP($C225,'REA-PPR'!$A$2:$E$149,3,FALSE))</f>
        <v/>
      </c>
      <c r="T225" s="15" t="str">
        <f>IF(VLOOKUP(C225,'UW Rec Amts'!A:H,2,FALSE),"C","")</f>
        <v>C</v>
      </c>
      <c r="U225" s="378" t="str">
        <f>IF(VLOOKUP($C225,'REA-PPR'!$A$2:$E$149,5,FALSE)="","No",VLOOKUP($C225,'REA-PPR'!$A$2:$E$149,5,FALSE))</f>
        <v>No</v>
      </c>
      <c r="V225" s="338"/>
      <c r="W225" s="338"/>
      <c r="X225" s="338"/>
      <c r="Y225" s="15"/>
    </row>
    <row r="226" spans="1:25" ht="12.75">
      <c r="A226" s="24"/>
      <c r="B226" s="120"/>
      <c r="C226" s="390">
        <v>18142</v>
      </c>
      <c r="D226" s="427" t="str">
        <f>VLOOKUP($C226,'DB Link APP'!$A$2:$T$323,2,FALSE)</f>
        <v>San Juan Mission Villas</v>
      </c>
      <c r="E226" s="427" t="str">
        <f>VLOOKUP($C226,'DB Link APP'!$A$2:$T$323,17,FALSE)</f>
        <v>Jeremy Mears</v>
      </c>
      <c r="F226" s="427" t="str">
        <f>VLOOKUP(C226,'DB Link APP'!$A$3:$U$119,8,FALSE)</f>
        <v>Urban</v>
      </c>
      <c r="G226" s="428"/>
      <c r="H226" s="429"/>
      <c r="I226" s="430" t="str">
        <f>IF(VLOOKUP($C226,'DB Link APP'!$A$2:$T$323,11,FALSE)=0,"",VLOOKUP($C226,'DB Link APP'!$A$2:$T$323,11,FALSE))</f>
        <v/>
      </c>
      <c r="J226" s="520" t="str">
        <f>IF(VLOOKUP($C226,'DB Link APP'!$A$2:$N$149,13,FALSE)="General","",VLOOKUP($C226,'DB Link APP'!$A$2:$N$149,13,FALSE))</f>
        <v>Elderly Limitation</v>
      </c>
      <c r="K226" s="507">
        <f>VLOOKUP($C226,'DB Link APP'!$A$2:$T$323,16,FALSE)</f>
        <v>1140000</v>
      </c>
      <c r="L226" s="504">
        <f>IF(ISNA(VLOOKUP(C226,'UW Rec Amts'!$A$2:$D$112,4,FALSE)),"",VLOOKUP(C226,'UW Rec Amts'!$A$2:$D$112,4,FALSE))</f>
        <v>1140000</v>
      </c>
      <c r="M226" s="385">
        <f>+SUM(L$223:L226)/K$221</f>
        <v>0.87771774301664907</v>
      </c>
      <c r="N226" s="483">
        <f t="shared" si="35"/>
        <v>1140000</v>
      </c>
      <c r="O226" s="118"/>
      <c r="P226" s="480"/>
      <c r="Q226" s="468">
        <f>+SUM(N226:P226)</f>
        <v>1140000</v>
      </c>
      <c r="R226" s="380" t="str">
        <f>+IF(N226&gt;0,"I",IF(O226&gt;0,"R",IF(P226&gt;0,"SW","")))</f>
        <v>I</v>
      </c>
      <c r="S226" s="267" t="str">
        <f>IF(VLOOKUP($C226,'REA-PPR'!$A$2:$E$149,3,FALSE)="","",VLOOKUP($C226,'REA-PPR'!$A$2:$E$149,3,FALSE))</f>
        <v/>
      </c>
      <c r="T226" s="15" t="str">
        <f>IF(VLOOKUP(C226,'UW Rec Amts'!A:H,2,FALSE),"C","")</f>
        <v>C</v>
      </c>
      <c r="U226" s="378" t="str">
        <f>IF(VLOOKUP($C226,'REA-PPR'!$A$2:$E$149,5,FALSE)="","No",VLOOKUP($C226,'REA-PPR'!$A$2:$E$149,5,FALSE))</f>
        <v>No</v>
      </c>
      <c r="V226" s="283"/>
      <c r="W226" s="283"/>
      <c r="X226" s="283"/>
      <c r="Y226" s="15"/>
    </row>
    <row r="227" spans="1:25" ht="13.5" customHeight="1">
      <c r="A227" s="24" t="e">
        <f>VLOOKUP($C222,#REF!,2,FALSE)</f>
        <v>#REF!</v>
      </c>
      <c r="B227" s="120" t="e">
        <f>VLOOKUP($C222,#REF!,6,FALSE)</f>
        <v>#REF!</v>
      </c>
      <c r="C227" s="390">
        <v>18052</v>
      </c>
      <c r="D227" s="391" t="str">
        <f>VLOOKUP($C227,'DB Link APP'!$A$2:$T$323,2,FALSE)</f>
        <v>Nacogdoches Lofts</v>
      </c>
      <c r="E227" s="391" t="str">
        <f>VLOOKUP($C227,'DB Link APP'!$A$2:$T$323,17,FALSE)</f>
        <v>Jason Arechiga</v>
      </c>
      <c r="F227" s="391" t="str">
        <f>VLOOKUP(C227,'DB Link APP'!$A$3:$U$119,8,FALSE)</f>
        <v>Urban</v>
      </c>
      <c r="G227" s="392"/>
      <c r="H227" s="393"/>
      <c r="I227" s="394" t="str">
        <f>IF(VLOOKUP($C227,'DB Link APP'!$A$2:$T$323,11,FALSE)=0,"",VLOOKUP($C227,'DB Link APP'!$A$2:$T$323,11,FALSE))</f>
        <v/>
      </c>
      <c r="J227" s="520" t="str">
        <f>IF(VLOOKUP($C227,'DB Link APP'!$A$2:$N$149,13,FALSE)="General","",VLOOKUP($C227,'DB Link APP'!$A$2:$N$149,13,FALSE))</f>
        <v>Elderly Limitation</v>
      </c>
      <c r="K227" s="507">
        <f>VLOOKUP($C227,'DB Link APP'!$A$2:$T$323,16,FALSE)</f>
        <v>1467404</v>
      </c>
      <c r="L227" s="499">
        <v>0</v>
      </c>
      <c r="M227" s="385">
        <f>+SUM(L$223:L227)/K$221</f>
        <v>0.87771774301664907</v>
      </c>
      <c r="N227" s="483">
        <f t="shared" si="35"/>
        <v>0</v>
      </c>
      <c r="O227" s="118"/>
      <c r="P227" s="480"/>
      <c r="Q227" s="468">
        <f t="shared" ref="Q227" si="36">+SUM(N227:P227)</f>
        <v>0</v>
      </c>
      <c r="R227" s="380" t="str">
        <f t="shared" ref="R227" si="37">+IF(N227&gt;0,"I",IF(O227&gt;0,"R",IF(P227&gt;0,"SW","")))</f>
        <v/>
      </c>
      <c r="S227" s="267" t="str">
        <f>IF(VLOOKUP($C227,'REA-PPR'!$A$2:$E$149,3,FALSE)="","",VLOOKUP($C227,'REA-PPR'!$A$2:$E$149,3,FALSE))</f>
        <v/>
      </c>
      <c r="T227" s="15" t="str">
        <f>IF(VLOOKUP(C227,'UW Rec Amts'!A:H,2,FALSE),"C","")</f>
        <v>C</v>
      </c>
      <c r="U227" s="378" t="str">
        <f>IF(VLOOKUP($C227,'REA-PPR'!$A$2:$E$149,5,FALSE)="","No",VLOOKUP($C227,'REA-PPR'!$A$2:$E$149,5,FALSE))</f>
        <v>No</v>
      </c>
      <c r="Y227" s="15"/>
    </row>
    <row r="228" spans="1:25" ht="12.75">
      <c r="C228" s="390">
        <v>18086</v>
      </c>
      <c r="D228" s="391" t="str">
        <f>VLOOKUP($C228,'DB Link APP'!$A$2:$T$323,2,FALSE)</f>
        <v>The Village at Overlook Parkway</v>
      </c>
      <c r="E228" s="391" t="str">
        <f>VLOOKUP($C228,'DB Link APP'!$A$2:$T$323,17,FALSE)</f>
        <v>Edgar Sandoval</v>
      </c>
      <c r="F228" s="391" t="str">
        <f>VLOOKUP(C228,'DB Link APP'!$A$3:$U$119,8,FALSE)</f>
        <v>Urban</v>
      </c>
      <c r="G228" s="392"/>
      <c r="H228" s="393"/>
      <c r="I228" s="394" t="str">
        <f>IF(VLOOKUP($C228,'DB Link APP'!$A$2:$T$323,11,FALSE)=0,"",VLOOKUP($C228,'DB Link APP'!$A$2:$T$323,11,FALSE))</f>
        <v/>
      </c>
      <c r="J228" s="520" t="str">
        <f>IF(VLOOKUP($C228,'DB Link APP'!$A$2:$N$149,13,FALSE)="General","",VLOOKUP($C228,'DB Link APP'!$A$2:$N$149,13,FALSE))</f>
        <v>Elderly Limitation</v>
      </c>
      <c r="K228" s="507">
        <f>VLOOKUP($C228,'DB Link APP'!$A$2:$T$323,16,FALSE)</f>
        <v>1490824</v>
      </c>
      <c r="L228" s="499">
        <v>0</v>
      </c>
      <c r="M228" s="385">
        <f>+SUM(L$223:L228)/K$221</f>
        <v>0.87771774301664907</v>
      </c>
      <c r="N228" s="483">
        <f t="shared" si="35"/>
        <v>0</v>
      </c>
      <c r="O228" s="118"/>
      <c r="P228" s="480"/>
      <c r="Q228" s="468">
        <f t="shared" ref="Q228:Q231" si="38">+SUM(N228:P228)</f>
        <v>0</v>
      </c>
      <c r="R228" s="380" t="str">
        <f t="shared" ref="R228:R231" si="39">+IF(N228&gt;0,"I",IF(O228&gt;0,"R",IF(P228&gt;0,"SW","")))</f>
        <v/>
      </c>
      <c r="S228" s="267" t="str">
        <f>IF(VLOOKUP($C228,'REA-PPR'!$A$2:$E$149,3,FALSE)="","",VLOOKUP($C228,'REA-PPR'!$A$2:$E$149,3,FALSE))</f>
        <v/>
      </c>
      <c r="T228" s="15" t="str">
        <f>IF(VLOOKUP(C228,'UW Rec Amts'!A:H,2,FALSE),"C","")</f>
        <v>C</v>
      </c>
      <c r="U228" s="378" t="str">
        <f>IF(VLOOKUP($C228,'REA-PPR'!$A$2:$E$149,5,FALSE)="","No",VLOOKUP($C228,'REA-PPR'!$A$2:$E$149,5,FALSE))</f>
        <v>No</v>
      </c>
      <c r="Y228" s="15"/>
    </row>
    <row r="229" spans="1:25" ht="12.75" hidden="1">
      <c r="A229" s="24" t="e">
        <f>VLOOKUP($C228,#REF!,2,FALSE)</f>
        <v>#REF!</v>
      </c>
      <c r="B229" s="120" t="e">
        <f>VLOOKUP($C228,#REF!,6,FALSE)</f>
        <v>#REF!</v>
      </c>
      <c r="C229" s="420">
        <v>18054</v>
      </c>
      <c r="D229" s="386" t="str">
        <f>VLOOKUP($C229,'DB Link APP'!$A$2:$T$323,2,FALSE)</f>
        <v>Piedmont Lofts</v>
      </c>
      <c r="E229" s="386" t="str">
        <f>VLOOKUP($C229,'DB Link APP'!$A$2:$T$323,17,FALSE)</f>
        <v>Jason Arechiga</v>
      </c>
      <c r="F229" s="376" t="str">
        <f>VLOOKUP(C229,'DB Link APP'!$A$3:$U$119,8,FALSE)</f>
        <v>Urban</v>
      </c>
      <c r="G229" s="387"/>
      <c r="H229" s="380"/>
      <c r="I229" s="377" t="str">
        <f>IF(VLOOKUP($C229,'DB Link APP'!$A$2:$T$323,11,FALSE)=0,"",VLOOKUP($C229,'DB Link APP'!$A$2:$T$323,11,FALSE))</f>
        <v/>
      </c>
      <c r="J229" s="520" t="str">
        <f>IF(VLOOKUP($C229,'REA-PPR'!$A$2:$E$149,5,FALSE)="","No",VLOOKUP($C229,'REA-PPR'!$A$2:$E$149,5,FALSE))</f>
        <v>No</v>
      </c>
      <c r="K229" s="506">
        <f>VLOOKUP($C229,'DB Link APP'!$A$2:$T$323,16,FALSE)</f>
        <v>1500000</v>
      </c>
      <c r="L229" s="485">
        <f>IF(ISNA(VLOOKUP(C229,'UW Rec Amts'!$A$2:$D$112,4,FALSE)),"",VLOOKUP(C229,'UW Rec Amts'!$A$2:$D$112,4,FALSE))</f>
        <v>1500000</v>
      </c>
      <c r="M229" s="385">
        <f>+SUM(L$223:L229)/K$221</f>
        <v>1.1533656641733636</v>
      </c>
      <c r="N229" s="483">
        <f t="shared" si="35"/>
        <v>0</v>
      </c>
      <c r="O229" s="118"/>
      <c r="P229" s="480"/>
      <c r="Q229" s="468">
        <f t="shared" si="38"/>
        <v>0</v>
      </c>
      <c r="R229" s="380" t="str">
        <f t="shared" si="39"/>
        <v/>
      </c>
      <c r="S229" s="267" t="str">
        <f>IF(VLOOKUP($C229,'REA-PPR'!$A$2:$E$149,3,FALSE)="","",VLOOKUP($C229,'REA-PPR'!$A$2:$E$149,3,FALSE))</f>
        <v/>
      </c>
      <c r="T229" s="15" t="str">
        <f>IF(VLOOKUP(C229,'UW Rec Amts'!A:H,2,FALSE),"C","")</f>
        <v>C</v>
      </c>
      <c r="U229" s="378" t="str">
        <f>IF(VLOOKUP($C229,'REA-PPR'!$A$2:$E$149,5,FALSE)="","No",VLOOKUP($C229,'REA-PPR'!$A$2:$E$149,5,FALSE))</f>
        <v>No</v>
      </c>
      <c r="V229" s="280"/>
      <c r="Y229" s="15"/>
    </row>
    <row r="230" spans="1:25" ht="12.75" hidden="1">
      <c r="A230" s="24"/>
      <c r="B230" s="120"/>
      <c r="C230" s="408">
        <v>18053</v>
      </c>
      <c r="D230" s="386" t="str">
        <f>VLOOKUP($C230,'DB Link APP'!$A$2:$T$323,2,FALSE)</f>
        <v>Alazan Lofts</v>
      </c>
      <c r="E230" s="386" t="str">
        <f>VLOOKUP($C230,'DB Link APP'!$A$2:$T$323,17,FALSE)</f>
        <v>Jason Arechiga</v>
      </c>
      <c r="F230" s="376" t="str">
        <f>VLOOKUP(C230,'DB Link APP'!$A$3:$U$119,8,FALSE)</f>
        <v>Urban</v>
      </c>
      <c r="G230" s="387"/>
      <c r="H230" s="380"/>
      <c r="I230" s="377" t="str">
        <f>IF(VLOOKUP($C230,'DB Link APP'!$A$2:$T$323,11,FALSE)=0,"",VLOOKUP($C230,'DB Link APP'!$A$2:$T$323,11,FALSE))</f>
        <v/>
      </c>
      <c r="J230" s="520" t="str">
        <f>IF(VLOOKUP($C230,'REA-PPR'!$A$2:$E$149,5,FALSE)="","No",VLOOKUP($C230,'REA-PPR'!$A$2:$E$149,5,FALSE))</f>
        <v>No</v>
      </c>
      <c r="K230" s="506">
        <f>VLOOKUP($C230,'DB Link APP'!$A$2:$T$323,16,FALSE)</f>
        <v>0</v>
      </c>
      <c r="L230" s="485">
        <f>IF(ISNA(VLOOKUP(C230,'UW Rec Amts'!$A$2:$D$112,4,FALSE)),"",VLOOKUP(C230,'UW Rec Amts'!$A$2:$D$112,4,FALSE))</f>
        <v>0</v>
      </c>
      <c r="M230" s="385">
        <f>+SUM(L$223:L230)/K$221</f>
        <v>1.1533656641733636</v>
      </c>
      <c r="N230" s="483">
        <f t="shared" si="35"/>
        <v>0</v>
      </c>
      <c r="O230" s="118"/>
      <c r="P230" s="480"/>
      <c r="Q230" s="468">
        <f t="shared" si="38"/>
        <v>0</v>
      </c>
      <c r="R230" s="380" t="str">
        <f t="shared" si="39"/>
        <v/>
      </c>
      <c r="S230" s="267" t="str">
        <f>IF(VLOOKUP($C230,'REA-PPR'!$A$2:$E$149,3,FALSE)="","",VLOOKUP($C230,'REA-PPR'!$A$2:$E$149,3,FALSE))</f>
        <v/>
      </c>
      <c r="T230" s="15" t="str">
        <f>IF(VLOOKUP(C230,'UW Rec Amts'!A:H,2,FALSE),"C","")</f>
        <v/>
      </c>
      <c r="U230" s="378" t="str">
        <f>IF(VLOOKUP($C230,'REA-PPR'!$A$2:$E$149,5,FALSE)="","No",VLOOKUP($C230,'REA-PPR'!$A$2:$E$149,5,FALSE))</f>
        <v>No</v>
      </c>
      <c r="V230" s="338"/>
      <c r="W230" s="338"/>
      <c r="X230" s="338"/>
      <c r="Y230" s="15"/>
    </row>
    <row r="231" spans="1:25" ht="12.75" hidden="1">
      <c r="A231" s="24"/>
      <c r="B231" s="120"/>
      <c r="C231" s="420">
        <v>18166</v>
      </c>
      <c r="D231" s="386" t="str">
        <f>VLOOKUP($C231,'DB Link APP'!$A$2:$T$323,2,FALSE)</f>
        <v>The Legacy at Buena Vista</v>
      </c>
      <c r="E231" s="386" t="str">
        <f>VLOOKUP($C231,'DB Link APP'!$A$2:$T$323,17,FALSE)</f>
        <v>Dan Wilson</v>
      </c>
      <c r="F231" s="376" t="str">
        <f>VLOOKUP(C231,'DB Link APP'!$A$3:$U$119,8,FALSE)</f>
        <v>Urban</v>
      </c>
      <c r="G231" s="387"/>
      <c r="H231" s="380"/>
      <c r="I231" s="377" t="str">
        <f>IF(VLOOKUP($C231,'DB Link APP'!$A$2:$T$323,11,FALSE)=0,"",VLOOKUP($C231,'DB Link APP'!$A$2:$T$323,11,FALSE))</f>
        <v/>
      </c>
      <c r="J231" s="520" t="str">
        <f>IF(VLOOKUP($C231,'REA-PPR'!$A$2:$E$149,5,FALSE)="","No",VLOOKUP($C231,'REA-PPR'!$A$2:$E$149,5,FALSE))</f>
        <v>No</v>
      </c>
      <c r="K231" s="506">
        <f>VLOOKUP($C231,'DB Link APP'!$A$2:$T$323,16,FALSE)</f>
        <v>0</v>
      </c>
      <c r="L231" s="485">
        <f>IF(ISNA(VLOOKUP(C231,'UW Rec Amts'!$A$2:$D$112,4,FALSE)),"",VLOOKUP(C231,'UW Rec Amts'!$A$2:$D$112,4,FALSE))</f>
        <v>0</v>
      </c>
      <c r="M231" s="385">
        <f>+SUM(L$223:L231)/K$221</f>
        <v>1.1533656641733636</v>
      </c>
      <c r="N231" s="483">
        <f t="shared" si="35"/>
        <v>0</v>
      </c>
      <c r="O231" s="118"/>
      <c r="P231" s="480"/>
      <c r="Q231" s="468">
        <f t="shared" si="38"/>
        <v>0</v>
      </c>
      <c r="R231" s="380" t="str">
        <f t="shared" si="39"/>
        <v/>
      </c>
      <c r="S231" s="267" t="str">
        <f>IF(VLOOKUP($C231,'REA-PPR'!$A$2:$E$149,3,FALSE)="","",VLOOKUP($C231,'REA-PPR'!$A$2:$E$149,3,FALSE))</f>
        <v/>
      </c>
      <c r="T231" s="15" t="str">
        <f>IF(VLOOKUP(C231,'UW Rec Amts'!A:H,2,FALSE),"C","")</f>
        <v/>
      </c>
      <c r="U231" s="378" t="str">
        <f>IF(VLOOKUP($C231,'REA-PPR'!$A$2:$E$149,5,FALSE)="","No",VLOOKUP($C231,'REA-PPR'!$A$2:$E$149,5,FALSE))</f>
        <v>No</v>
      </c>
      <c r="V231" s="338"/>
      <c r="W231" s="338"/>
      <c r="X231" s="338"/>
      <c r="Y231" s="15"/>
    </row>
    <row r="232" spans="1:25">
      <c r="A232" s="24"/>
      <c r="B232" s="120"/>
      <c r="C232" s="364"/>
      <c r="D232" s="365"/>
      <c r="E232" s="365"/>
      <c r="F232" s="366"/>
      <c r="G232" s="367"/>
      <c r="H232" s="367"/>
      <c r="I232" s="365"/>
      <c r="J232" s="523"/>
      <c r="K232" s="481"/>
      <c r="L232" s="481"/>
      <c r="M232" s="372"/>
      <c r="N232" s="481"/>
      <c r="O232" s="29"/>
      <c r="P232" s="481"/>
      <c r="Q232" s="470"/>
      <c r="R232" s="368"/>
      <c r="U232" s="378"/>
      <c r="V232" s="283"/>
      <c r="W232" s="283"/>
      <c r="X232" s="283"/>
      <c r="Y232" s="15"/>
    </row>
    <row r="233" spans="1:25">
      <c r="A233" s="24"/>
      <c r="B233" s="120"/>
      <c r="J233" s="272" t="s">
        <v>18</v>
      </c>
      <c r="K233" s="465">
        <f>SUM(K223:K231)</f>
        <v>9255870</v>
      </c>
      <c r="L233" s="498" t="s">
        <v>19</v>
      </c>
      <c r="M233" s="243"/>
      <c r="N233" s="465">
        <f>+SUM(N222:N232)</f>
        <v>4776298</v>
      </c>
      <c r="P233" s="465">
        <f>+SUM(P222:P232)</f>
        <v>0</v>
      </c>
      <c r="Q233" s="465">
        <f>+SUM(Q222:Q232)</f>
        <v>4776298</v>
      </c>
      <c r="U233" s="378"/>
      <c r="V233" s="320"/>
      <c r="W233" s="320"/>
      <c r="X233" s="320"/>
      <c r="Y233" s="15"/>
    </row>
    <row r="234" spans="1:25" ht="13.5" customHeight="1">
      <c r="A234" s="27"/>
      <c r="B234" s="27"/>
      <c r="J234" s="524"/>
      <c r="L234" s="498" t="s">
        <v>20</v>
      </c>
      <c r="M234" s="243"/>
      <c r="N234" s="25">
        <f>1-SUM($N233:N233)/$K221</f>
        <v>0.12228225698335093</v>
      </c>
      <c r="O234" s="25"/>
      <c r="P234" s="25">
        <f>1-SUM($N233:P233)/$K221</f>
        <v>0.12228225698335093</v>
      </c>
      <c r="Q234" s="25">
        <f>1-SUM($Q233:Q233)/$K221</f>
        <v>0.12228225698335093</v>
      </c>
      <c r="U234" s="378"/>
      <c r="W234" s="26"/>
      <c r="X234" s="26"/>
      <c r="Y234" s="15"/>
    </row>
    <row r="235" spans="1:25">
      <c r="J235" s="524"/>
      <c r="M235" s="243"/>
      <c r="U235" s="378"/>
      <c r="Y235" s="15"/>
    </row>
    <row r="236" spans="1:25" ht="15.75">
      <c r="C236" s="354" t="s">
        <v>51</v>
      </c>
      <c r="D236" s="31" t="s">
        <v>6</v>
      </c>
      <c r="J236" s="272" t="str">
        <f>+J221</f>
        <v>Available</v>
      </c>
      <c r="K236" s="465">
        <f>+CEILING!L50</f>
        <v>668053.58136322815</v>
      </c>
      <c r="M236" s="243"/>
      <c r="U236" s="378"/>
      <c r="Y236" s="15"/>
    </row>
    <row r="237" spans="1:25">
      <c r="C237" s="28"/>
      <c r="D237" s="29"/>
      <c r="E237" s="29"/>
      <c r="F237" s="88"/>
      <c r="G237" s="30"/>
      <c r="H237" s="30"/>
      <c r="I237" s="29"/>
      <c r="J237" s="528"/>
      <c r="K237" s="486"/>
      <c r="L237" s="486"/>
      <c r="M237" s="244"/>
      <c r="N237" s="486"/>
      <c r="O237" s="29"/>
      <c r="P237" s="30"/>
      <c r="Q237" s="474"/>
      <c r="R237" s="27"/>
      <c r="U237" s="378"/>
      <c r="Y237" s="15"/>
    </row>
    <row r="238" spans="1:25">
      <c r="C238" s="253">
        <v>18260</v>
      </c>
      <c r="D238" s="123" t="str">
        <f>VLOOKUP($C238,'DB Link APP'!$A$2:$T$323,2,FALSE)</f>
        <v>Fish Pond at Cuero</v>
      </c>
      <c r="E238" s="123" t="str">
        <f>VLOOKUP($C238,'DB Link APP'!$A$2:$T$323,17,FALSE)</f>
        <v>David Fournier</v>
      </c>
      <c r="F238" s="117" t="str">
        <f>VLOOKUP(C238,'DB Link APP'!$A$3:$U$119,8,FALSE)</f>
        <v>Rural</v>
      </c>
      <c r="G238" s="124"/>
      <c r="H238" s="121"/>
      <c r="I238" s="262" t="str">
        <f>IF(VLOOKUP($C238,'DB Link APP'!$A$2:$T$323,11,FALSE)=0,"",VLOOKUP($C238,'DB Link APP'!$A$2:$T$323,11,FALSE))</f>
        <v/>
      </c>
      <c r="J238" s="520" t="str">
        <f>IF(VLOOKUP($C238,'DB Link APP'!$A$2:$N$149,13,FALSE)="General","",VLOOKUP($C238,'DB Link APP'!$A$2:$N$149,13,FALSE))</f>
        <v>Elderly Limitation</v>
      </c>
      <c r="K238" s="512">
        <f>VLOOKUP($C238,'DB Link APP'!$A$2:$T$323,16,FALSE)</f>
        <v>584842</v>
      </c>
      <c r="L238" s="500">
        <f>IF(ISNA(VLOOKUP(C238,'UW Rec Amts'!$A$2:$D$112,4,FALSE)),"",VLOOKUP(C238,'UW Rec Amts'!$A$2:$D$112,4,FALSE))</f>
        <v>584842</v>
      </c>
      <c r="M238" s="245">
        <f>+SUM(L$238:L238)/K$236</f>
        <v>0.8754417554450844</v>
      </c>
      <c r="N238" s="487">
        <f>+IF(M238&lt;=1,L238,0)</f>
        <v>584842</v>
      </c>
      <c r="O238" s="516"/>
      <c r="P238" s="516"/>
      <c r="Q238" s="475">
        <f>+SUM(N238:P238)</f>
        <v>584842</v>
      </c>
      <c r="R238" s="121" t="str">
        <f>+IF(N238&gt;0,"I",IF(O238&gt;0,"R",IF(P238&gt;0,"SW","")))</f>
        <v>I</v>
      </c>
      <c r="S238" s="267" t="str">
        <f>IF(VLOOKUP($C238,'REA-PPR'!$A$2:$E$149,3,FALSE)="","",VLOOKUP($C238,'REA-PPR'!$A$2:$E$149,3,FALSE))</f>
        <v/>
      </c>
      <c r="T238" s="15" t="str">
        <f>IF(VLOOKUP(C238,'UW Rec Amts'!A:H,2,FALSE),"C","")</f>
        <v>C</v>
      </c>
      <c r="U238" s="378" t="str">
        <f>IF(VLOOKUP($C238,'REA-PPR'!$A$2:$E$149,5,FALSE)="","No",VLOOKUP($C238,'REA-PPR'!$A$2:$E$149,5,FALSE))</f>
        <v>No</v>
      </c>
      <c r="Y238" s="15"/>
    </row>
    <row r="239" spans="1:25" ht="15" customHeight="1">
      <c r="A239" s="24" t="e">
        <f>VLOOKUP($C237,#REF!,2,FALSE)</f>
        <v>#REF!</v>
      </c>
      <c r="B239" s="24" t="e">
        <f>VLOOKUP($C237,#REF!,6,FALSE)</f>
        <v>#REF!</v>
      </c>
      <c r="C239" s="28"/>
      <c r="D239" s="29"/>
      <c r="E239" s="29"/>
      <c r="F239" s="88"/>
      <c r="G239" s="30"/>
      <c r="H239" s="30"/>
      <c r="I239" s="29"/>
      <c r="J239" s="528"/>
      <c r="K239" s="486"/>
      <c r="L239" s="486"/>
      <c r="M239" s="244"/>
      <c r="N239" s="486"/>
      <c r="O239" s="486"/>
      <c r="P239" s="486"/>
      <c r="Q239" s="474"/>
      <c r="R239" s="27"/>
      <c r="U239" s="378"/>
      <c r="Y239" s="15"/>
    </row>
    <row r="240" spans="1:25">
      <c r="A240" s="24" t="e">
        <f>VLOOKUP($C238,#REF!,2,FALSE)</f>
        <v>#REF!</v>
      </c>
      <c r="B240" s="120" t="e">
        <f>VLOOKUP($C238,#REF!,6,FALSE)</f>
        <v>#REF!</v>
      </c>
      <c r="J240" s="272" t="s">
        <v>18</v>
      </c>
      <c r="K240" s="465">
        <f>+SUM(K237:K239)</f>
        <v>584842</v>
      </c>
      <c r="L240" s="498" t="s">
        <v>19</v>
      </c>
      <c r="M240" s="243"/>
      <c r="N240" s="465">
        <f>+SUM(N237:N239)</f>
        <v>584842</v>
      </c>
      <c r="O240" s="465">
        <f>+SUM(O237:O239)</f>
        <v>0</v>
      </c>
      <c r="P240" s="465">
        <f>+SUM(P237:P239)</f>
        <v>0</v>
      </c>
      <c r="Q240" s="465">
        <f>+SUM(Q237:Q239)</f>
        <v>584842</v>
      </c>
      <c r="U240" s="378"/>
      <c r="Y240" s="15"/>
    </row>
    <row r="241" spans="1:25" ht="13.5" customHeight="1">
      <c r="A241" s="27"/>
      <c r="B241" s="27"/>
      <c r="J241" s="524"/>
      <c r="L241" s="498" t="s">
        <v>20</v>
      </c>
      <c r="M241" s="243"/>
      <c r="N241" s="25">
        <f>1-SUM($N240:N240)/$K236</f>
        <v>0.1245582445549156</v>
      </c>
      <c r="O241" s="25">
        <f>1-SUM($N240:O240)/$K236</f>
        <v>0.1245582445549156</v>
      </c>
      <c r="P241" s="25">
        <f>1-SUM($N240:P240)/$K236</f>
        <v>0.1245582445549156</v>
      </c>
      <c r="Q241" s="25">
        <f>1-SUM($Q240:Q240)/$K236</f>
        <v>0.1245582445549156</v>
      </c>
      <c r="U241" s="378"/>
      <c r="Y241" s="15"/>
    </row>
    <row r="242" spans="1:25">
      <c r="J242" s="524"/>
      <c r="M242" s="243"/>
      <c r="U242" s="378"/>
      <c r="Y242" s="15"/>
    </row>
    <row r="243" spans="1:25" ht="15.75">
      <c r="C243" s="354" t="s">
        <v>51</v>
      </c>
      <c r="D243" s="31" t="s">
        <v>14</v>
      </c>
      <c r="J243" s="272" t="str">
        <f>+J236</f>
        <v>Available</v>
      </c>
      <c r="K243" s="465">
        <f>+CEILING!L36</f>
        <v>1481784.5822593917</v>
      </c>
      <c r="M243" s="243"/>
      <c r="U243" s="378"/>
      <c r="Y243" s="15"/>
    </row>
    <row r="244" spans="1:25">
      <c r="C244" s="361"/>
      <c r="D244" s="357"/>
      <c r="E244" s="357"/>
      <c r="F244" s="356"/>
      <c r="G244" s="362"/>
      <c r="H244" s="362"/>
      <c r="I244" s="357"/>
      <c r="J244" s="522"/>
      <c r="K244" s="471"/>
      <c r="L244" s="471"/>
      <c r="M244" s="370"/>
      <c r="N244" s="471"/>
      <c r="O244" s="29"/>
      <c r="P244" s="362"/>
      <c r="Q244" s="467"/>
      <c r="R244" s="363"/>
      <c r="U244" s="378"/>
      <c r="Y244" s="15"/>
    </row>
    <row r="245" spans="1:25" ht="12.75" customHeight="1">
      <c r="A245" s="24" t="e">
        <f>VLOOKUP($C244,#REF!,2,FALSE)</f>
        <v>#REF!</v>
      </c>
      <c r="B245" s="120" t="e">
        <f>VLOOKUP($C244,#REF!,6,FALSE)</f>
        <v>#REF!</v>
      </c>
      <c r="C245" s="402">
        <v>18261</v>
      </c>
      <c r="D245" s="386" t="str">
        <f>VLOOKUP($C245,'DB Link APP'!$A$2:$T$323,2,FALSE)</f>
        <v>Fish Pond at Portland</v>
      </c>
      <c r="E245" s="386" t="str">
        <f>VLOOKUP($C245,'DB Link APP'!$A$2:$T$323,17,FALSE)</f>
        <v>David Fournier</v>
      </c>
      <c r="F245" s="376" t="str">
        <f>VLOOKUP(C245,'DB Link APP'!$A$3:$U$119,8,FALSE)</f>
        <v>Urban</v>
      </c>
      <c r="G245" s="387"/>
      <c r="H245" s="380"/>
      <c r="I245" s="377" t="str">
        <f>IF(VLOOKUP($C245,'DB Link APP'!$A$2:$T$323,11,FALSE)=0,"",VLOOKUP($C245,'DB Link APP'!$A$2:$T$323,11,FALSE))</f>
        <v/>
      </c>
      <c r="J245" s="520" t="str">
        <f>IF(VLOOKUP($C245,'DB Link APP'!$A$2:$N$149,13,FALSE)="General","",VLOOKUP($C245,'DB Link APP'!$A$2:$N$149,13,FALSE))</f>
        <v>Elderly Limitation</v>
      </c>
      <c r="K245" s="507">
        <f>VLOOKUP($C245,'DB Link APP'!$A$2:$T$323,16,FALSE)</f>
        <v>762700</v>
      </c>
      <c r="L245" s="485">
        <f>IF(ISNA(VLOOKUP(C245,'UW Rec Amts'!$A$2:$D$112,4,FALSE)),"",VLOOKUP(C245,'UW Rec Amts'!$A$2:$D$112,4,FALSE))</f>
        <v>762700</v>
      </c>
      <c r="M245" s="385">
        <f>+SUM(L$245:L245)/K$243</f>
        <v>0.51471719245253067</v>
      </c>
      <c r="N245" s="483">
        <f>+IF(M245&lt;=1,L245,0)</f>
        <v>762700</v>
      </c>
      <c r="O245" s="116"/>
      <c r="P245" s="480"/>
      <c r="Q245" s="468">
        <f>+SUM(N245:P245)</f>
        <v>762700</v>
      </c>
      <c r="R245" s="380" t="str">
        <f>+IF(N245&gt;0,"I",IF(O245&gt;0,"R",IF(P245&gt;0,"SW","")))</f>
        <v>I</v>
      </c>
      <c r="S245" s="267" t="str">
        <f>IF(VLOOKUP($C245,'REA-PPR'!$A$2:$E$149,3,FALSE)="","",VLOOKUP($C245,'REA-PPR'!$A$2:$E$149,3,FALSE))</f>
        <v/>
      </c>
      <c r="T245" s="15" t="str">
        <f>IF(VLOOKUP(C245,'UW Rec Amts'!A:H,2,FALSE),"C","")</f>
        <v>C</v>
      </c>
      <c r="U245" s="378" t="str">
        <f>IF(VLOOKUP($C245,'REA-PPR'!$A$2:$E$149,5,FALSE)="","No",VLOOKUP($C245,'REA-PPR'!$A$2:$E$149,5,FALSE))</f>
        <v>No</v>
      </c>
      <c r="Y245" s="15"/>
    </row>
    <row r="246" spans="1:25" ht="12.75" customHeight="1">
      <c r="C246" s="402">
        <v>18186</v>
      </c>
      <c r="D246" s="386" t="str">
        <f>VLOOKUP($C246,'DB Link APP'!$A$2:$T$323,2,FALSE)</f>
        <v>Avanti at Greenwood</v>
      </c>
      <c r="E246" s="386" t="str">
        <f>VLOOKUP($C246,'DB Link APP'!$A$2:$T$323,17,FALSE)</f>
        <v>Henry Flores</v>
      </c>
      <c r="F246" s="376" t="str">
        <f>VLOOKUP(C246,'DB Link APP'!$A$3:$U$119,8,FALSE)</f>
        <v>Urban</v>
      </c>
      <c r="G246" s="387"/>
      <c r="H246" s="380"/>
      <c r="I246" s="377" t="str">
        <f>IF(VLOOKUP($C246,'DB Link APP'!$A$2:$T$323,11,FALSE)=0,"",VLOOKUP($C246,'DB Link APP'!$A$2:$T$323,11,FALSE))</f>
        <v/>
      </c>
      <c r="J246" s="520" t="str">
        <f>IF(VLOOKUP($C246,'DB Link APP'!$A$2:$N$149,13,FALSE)="General","",VLOOKUP($C246,'DB Link APP'!$A$2:$N$149,13,FALSE))</f>
        <v/>
      </c>
      <c r="K246" s="506">
        <f>VLOOKUP($C246,'DB Link APP'!$A$2:$T$323,16,FALSE)</f>
        <v>1291158</v>
      </c>
      <c r="L246" s="485">
        <f>IF(ISNA(VLOOKUP(C246,'UW Rec Amts'!$A$2:$D$112,4,FALSE)),"",VLOOKUP(C246,'UW Rec Amts'!$A$2:$D$112,4,FALSE))</f>
        <v>1291158</v>
      </c>
      <c r="M246" s="385">
        <f>+SUM(L$245:L246)/K$243</f>
        <v>1.3860705696291722</v>
      </c>
      <c r="N246" s="483">
        <f t="shared" ref="N246:N247" si="40">+IF(M246&lt;=1,L246,0)</f>
        <v>0</v>
      </c>
      <c r="O246" s="116"/>
      <c r="P246" s="480">
        <f>L246</f>
        <v>1291158</v>
      </c>
      <c r="Q246" s="468">
        <f>+SUM(N246:P246)</f>
        <v>1291158</v>
      </c>
      <c r="R246" s="380" t="str">
        <f>+IF(N246&gt;0,"I",IF(O246&gt;0,"R",IF(P246&gt;0,"SW","")))</f>
        <v>SW</v>
      </c>
      <c r="S246" s="267" t="str">
        <f>IF(VLOOKUP($C246,'REA-PPR'!$A$2:$E$149,3,FALSE)="","",VLOOKUP($C246,'REA-PPR'!$A$2:$E$149,3,FALSE))</f>
        <v/>
      </c>
      <c r="T246" s="15" t="str">
        <f>IF(VLOOKUP(C246,'UW Rec Amts'!A:H,2,FALSE),"C","")</f>
        <v>C</v>
      </c>
      <c r="U246" s="378" t="str">
        <f>IF(VLOOKUP($C246,'REA-PPR'!$A$2:$E$149,5,FALSE)="","No",VLOOKUP($C246,'REA-PPR'!$A$2:$E$149,5,FALSE))</f>
        <v>No</v>
      </c>
      <c r="Y246" s="15"/>
    </row>
    <row r="247" spans="1:25" ht="12.75" customHeight="1">
      <c r="A247" s="24"/>
      <c r="B247" s="120"/>
      <c r="C247" s="402">
        <v>18288</v>
      </c>
      <c r="D247" s="386" t="str">
        <f>VLOOKUP($C247,'DB Link APP'!$A$2:$T$323,2,FALSE)</f>
        <v>Village at Greenwood</v>
      </c>
      <c r="E247" s="386" t="str">
        <f>VLOOKUP($C247,'DB Link APP'!$A$2:$T$323,17,FALSE)</f>
        <v>Roger Canales</v>
      </c>
      <c r="F247" s="376" t="str">
        <f>VLOOKUP(C247,'DB Link APP'!$A$3:$U$119,8,FALSE)</f>
        <v>Urban</v>
      </c>
      <c r="G247" s="387"/>
      <c r="H247" s="380"/>
      <c r="I247" s="377" t="str">
        <f>IF(VLOOKUP($C247,'DB Link APP'!$A$2:$T$323,11,FALSE)=0,"",VLOOKUP($C247,'DB Link APP'!$A$2:$T$323,11,FALSE))</f>
        <v/>
      </c>
      <c r="J247" s="520" t="str">
        <f>IF(VLOOKUP($C247,'DB Link APP'!$A$2:$N$149,13,FALSE)="General","",VLOOKUP($C247,'DB Link APP'!$A$2:$N$149,13,FALSE))</f>
        <v/>
      </c>
      <c r="K247" s="506">
        <f>VLOOKUP($C247,'DB Link APP'!$A$2:$T$323,16,FALSE)</f>
        <v>1291158</v>
      </c>
      <c r="L247" s="485">
        <f>IF(ISNA(VLOOKUP(C247,'UW Rec Amts'!$A$2:$D$141,4,FALSE)),"",VLOOKUP(C247,'UW Rec Amts'!$A$2:$D$141,4,FALSE))</f>
        <v>1291158</v>
      </c>
      <c r="M247" s="385">
        <f>+SUM(L$245:L247)/K$243</f>
        <v>2.2574239468058139</v>
      </c>
      <c r="N247" s="483">
        <f t="shared" si="40"/>
        <v>0</v>
      </c>
      <c r="O247" s="116"/>
      <c r="P247" s="480"/>
      <c r="Q247" s="468">
        <f>+SUM(N247:P247)</f>
        <v>0</v>
      </c>
      <c r="R247" s="380" t="str">
        <f>+IF(N247&gt;0,"I",IF(O247&gt;0,"R",IF(P247&gt;0,"SW","")))</f>
        <v/>
      </c>
      <c r="S247" s="267" t="str">
        <f>IF(VLOOKUP($C247,'REA-PPR'!$A$2:$E$149,3,FALSE)="","",VLOOKUP($C247,'REA-PPR'!$A$2:$E$149,3,FALSE))</f>
        <v/>
      </c>
      <c r="T247" s="15" t="str">
        <f>IF(VLOOKUP(C247,'UW Rec Amts'!A:H,2,FALSE),"C","")</f>
        <v>C</v>
      </c>
      <c r="U247" s="378" t="str">
        <f>IF(VLOOKUP($C247,'REA-PPR'!$A$2:$E$149,5,FALSE)="","No",VLOOKUP($C247,'REA-PPR'!$A$2:$E$149,5,FALSE))</f>
        <v>No</v>
      </c>
      <c r="V247" s="338"/>
      <c r="Y247" s="15"/>
    </row>
    <row r="248" spans="1:25">
      <c r="A248" s="24" t="e">
        <f>VLOOKUP($C246,#REF!,2,FALSE)</f>
        <v>#REF!</v>
      </c>
      <c r="B248" s="120" t="e">
        <f>VLOOKUP($C246,#REF!,6,FALSE)</f>
        <v>#REF!</v>
      </c>
      <c r="C248" s="364"/>
      <c r="D248" s="365"/>
      <c r="E248" s="365"/>
      <c r="F248" s="366"/>
      <c r="G248" s="367"/>
      <c r="H248" s="367"/>
      <c r="I248" s="365"/>
      <c r="J248" s="523"/>
      <c r="K248" s="481"/>
      <c r="L248" s="481"/>
      <c r="M248" s="372"/>
      <c r="N248" s="481"/>
      <c r="O248" s="29"/>
      <c r="P248" s="481"/>
      <c r="Q248" s="470"/>
      <c r="R248" s="368"/>
      <c r="U248" s="378"/>
      <c r="V248" s="280"/>
      <c r="Y248" s="15"/>
    </row>
    <row r="249" spans="1:25">
      <c r="A249" s="24"/>
      <c r="B249" s="120"/>
      <c r="J249" s="272" t="s">
        <v>18</v>
      </c>
      <c r="K249" s="465">
        <f>+SUM(K244:K248)</f>
        <v>3345016</v>
      </c>
      <c r="L249" s="498" t="s">
        <v>19</v>
      </c>
      <c r="M249" s="243"/>
      <c r="N249" s="465">
        <f>+SUM(N244:N248)</f>
        <v>762700</v>
      </c>
      <c r="P249" s="465">
        <f>+SUM(P244:P248)</f>
        <v>1291158</v>
      </c>
      <c r="Q249" s="465">
        <f>+SUM(Q244:Q248)</f>
        <v>2053858</v>
      </c>
      <c r="U249" s="378"/>
      <c r="V249" s="283"/>
      <c r="Y249" s="15"/>
    </row>
    <row r="250" spans="1:25" ht="13.5" customHeight="1">
      <c r="A250" s="27"/>
      <c r="B250" s="27"/>
      <c r="J250" s="524"/>
      <c r="L250" s="498" t="s">
        <v>20</v>
      </c>
      <c r="M250" s="243"/>
      <c r="N250" s="25">
        <f>1-SUM($N249:N249)/$K243</f>
        <v>0.48528280754746933</v>
      </c>
      <c r="O250" s="25"/>
      <c r="P250" s="25">
        <f>1-SUM($N249:P249)/$K243</f>
        <v>-0.38607056962917219</v>
      </c>
      <c r="Q250" s="25">
        <f>1-SUM($Q249:Q249)/$K243</f>
        <v>-0.38607056962917219</v>
      </c>
      <c r="U250" s="378"/>
      <c r="V250" s="156"/>
      <c r="Y250" s="15"/>
    </row>
    <row r="251" spans="1:25">
      <c r="J251" s="524"/>
      <c r="M251" s="243"/>
      <c r="U251" s="378"/>
      <c r="Y251" s="15"/>
    </row>
    <row r="252" spans="1:25" ht="15.75">
      <c r="C252" s="354" t="s">
        <v>52</v>
      </c>
      <c r="D252" s="31" t="s">
        <v>6</v>
      </c>
      <c r="J252" s="272" t="str">
        <f>+J243</f>
        <v>Available</v>
      </c>
      <c r="K252" s="465">
        <f>+CEILING!L51</f>
        <v>909811.03972594091</v>
      </c>
      <c r="M252" s="243"/>
      <c r="U252" s="378"/>
      <c r="Y252" s="15"/>
    </row>
    <row r="253" spans="1:25">
      <c r="C253" s="361"/>
      <c r="D253" s="357"/>
      <c r="E253" s="357"/>
      <c r="F253" s="356"/>
      <c r="G253" s="362"/>
      <c r="H253" s="362"/>
      <c r="I253" s="357"/>
      <c r="J253" s="522"/>
      <c r="K253" s="471"/>
      <c r="L253" s="471"/>
      <c r="M253" s="370"/>
      <c r="N253" s="471"/>
      <c r="O253" s="357"/>
      <c r="P253" s="362"/>
      <c r="Q253" s="467"/>
      <c r="R253" s="363"/>
      <c r="U253" s="378"/>
      <c r="Y253" s="15"/>
    </row>
    <row r="254" spans="1:25" ht="12.75">
      <c r="C254" s="409">
        <v>18230</v>
      </c>
      <c r="D254" s="386" t="str">
        <f>VLOOKUP($C254,'DB Link APP'!$A$2:$T$323,2,FALSE)</f>
        <v>Las Villas del Rio Hondo</v>
      </c>
      <c r="E254" s="386" t="str">
        <f>VLOOKUP($C254,'DB Link APP'!$A$2:$T$323,17,FALSE)</f>
        <v>Melissa Fisher</v>
      </c>
      <c r="F254" s="376" t="str">
        <f>VLOOKUP(C254,'DB Link APP'!$A$3:$U$119,8,FALSE)</f>
        <v>Rural</v>
      </c>
      <c r="G254" s="387"/>
      <c r="H254" s="380"/>
      <c r="I254" s="377" t="str">
        <f>IF(VLOOKUP($C254,'DB Link APP'!$A$2:$T$323,11,FALSE)=0,"",VLOOKUP($C254,'DB Link APP'!$A$2:$T$323,11,FALSE))</f>
        <v/>
      </c>
      <c r="J254" s="520" t="str">
        <f>IF(VLOOKUP($C254,'DB Link APP'!$A$2:$N$149,13,FALSE)="General","",VLOOKUP($C254,'DB Link APP'!$A$2:$N$149,13,FALSE))</f>
        <v/>
      </c>
      <c r="K254" s="506">
        <f>VLOOKUP($C254,'DB Link APP'!$A$2:$T$323,16,FALSE)</f>
        <v>770000</v>
      </c>
      <c r="L254" s="485">
        <f>IF(ISNA(VLOOKUP(C254,'UW Rec Amts'!$A$2:$D$141,4,FALSE)),"",VLOOKUP(C254,'UW Rec Amts'!$A$2:$D$141,4,FALSE))</f>
        <v>770000</v>
      </c>
      <c r="M254" s="385">
        <f>+SUM(L$254:L254)/K$252</f>
        <v>0.84632958535207958</v>
      </c>
      <c r="N254" s="485">
        <f>+IF(M254&lt;=1,L254,0)</f>
        <v>770000</v>
      </c>
      <c r="O254" s="480"/>
      <c r="P254" s="480"/>
      <c r="Q254" s="468">
        <f>+SUM(N254:P254)</f>
        <v>770000</v>
      </c>
      <c r="R254" s="380" t="str">
        <f>+IF(N254&gt;0,"I",IF(O254&gt;0,"R",IF(P254&gt;0,"SW","")))</f>
        <v>I</v>
      </c>
      <c r="S254" s="267" t="str">
        <f>IF(VLOOKUP($C254,'REA-PPR'!$A$2:$E$149,3,FALSE)="","",VLOOKUP($C254,'REA-PPR'!$A$2:$E$149,3,FALSE))</f>
        <v/>
      </c>
      <c r="T254" s="15" t="str">
        <f>IF(VLOOKUP(C254,'UW Rec Amts'!A:H,2,FALSE),"C","")</f>
        <v>C</v>
      </c>
      <c r="U254" s="378" t="str">
        <f>IF(VLOOKUP($C254,'REA-PPR'!$A$2:$E$149,5,FALSE)="","No",VLOOKUP($C254,'REA-PPR'!$A$2:$E$149,5,FALSE))</f>
        <v>No</v>
      </c>
      <c r="V254" s="338"/>
      <c r="Y254" s="15"/>
    </row>
    <row r="255" spans="1:25" ht="12.75">
      <c r="C255" s="375">
        <v>18322</v>
      </c>
      <c r="D255" s="386" t="str">
        <f>VLOOKUP($C255,'DB Link APP'!$A$2:$T$323,2,FALSE)</f>
        <v xml:space="preserve">Las Casitas de Azucar                            
</v>
      </c>
      <c r="E255" s="386" t="str">
        <f>VLOOKUP($C255,'DB Link APP'!$A$2:$T$323,17,FALSE)</f>
        <v>Chloe Dotson</v>
      </c>
      <c r="F255" s="376" t="str">
        <f>VLOOKUP(C255,'DB Link APP'!$A$3:$U$119,8,FALSE)</f>
        <v>Rural</v>
      </c>
      <c r="G255" s="387"/>
      <c r="H255" s="380"/>
      <c r="I255" s="377" t="s">
        <v>162</v>
      </c>
      <c r="J255" s="520" t="str">
        <f>IF(VLOOKUP($C255,'DB Link APP'!$A$2:$N$149,13,FALSE)="General","",VLOOKUP($C255,'DB Link APP'!$A$2:$N$149,13,FALSE))</f>
        <v/>
      </c>
      <c r="K255" s="506">
        <f>VLOOKUP($C255,'DB Link APP'!$A$2:$T$323,16,FALSE)</f>
        <v>679000</v>
      </c>
      <c r="L255" s="485">
        <f>IF(ISNA(VLOOKUP(C255,'UW Rec Amts'!$A$2:$D$141,4,FALSE)),"",VLOOKUP(C255,'UW Rec Amts'!$A$2:$D$141,4,FALSE))</f>
        <v>679000</v>
      </c>
      <c r="M255" s="385">
        <f>+SUM(L$254:L255)/K$252</f>
        <v>1.5926384015261861</v>
      </c>
      <c r="N255" s="485">
        <f t="shared" ref="N255:N256" si="41">+IF(M255&lt;=1,L255,0)</f>
        <v>0</v>
      </c>
      <c r="O255" s="480">
        <f>L255</f>
        <v>679000</v>
      </c>
      <c r="P255" s="480"/>
      <c r="Q255" s="468">
        <f>+SUM(N255:P255)</f>
        <v>679000</v>
      </c>
      <c r="R255" s="380" t="str">
        <f>+IF(N255&gt;0,"I",IF(O255&gt;0,"R",IF(P255&gt;0,"SW","")))</f>
        <v>R</v>
      </c>
      <c r="S255" s="267" t="str">
        <f>IF(VLOOKUP($C255,'REA-PPR'!$A$2:$E$149,3,FALSE)="","",VLOOKUP($C255,'REA-PPR'!$A$2:$E$149,3,FALSE))</f>
        <v/>
      </c>
      <c r="T255" s="15" t="str">
        <f>IF(VLOOKUP(C255,'UW Rec Amts'!A:H,2,FALSE),"C","")</f>
        <v>C</v>
      </c>
      <c r="U255" s="378" t="str">
        <f>IF(VLOOKUP($C255,'REA-PPR'!$A$2:$E$149,5,FALSE)="","No",VLOOKUP($C255,'REA-PPR'!$A$2:$E$149,5,FALSE))</f>
        <v>No</v>
      </c>
      <c r="V255" s="338"/>
      <c r="Y255" s="15"/>
    </row>
    <row r="256" spans="1:25" ht="12.75">
      <c r="C256" s="409">
        <v>18157</v>
      </c>
      <c r="D256" s="386" t="str">
        <f>VLOOKUP($C256,'DB Link APP'!$A$2:$T$323,2,FALSE)</f>
        <v>Bamboo Estates Apartments</v>
      </c>
      <c r="E256" s="386" t="str">
        <f>VLOOKUP($C256,'DB Link APP'!$A$2:$T$323,17,FALSE)</f>
        <v>Sunny K. Philip</v>
      </c>
      <c r="F256" s="376" t="str">
        <f>VLOOKUP(C256,'DB Link APP'!$A$3:$U$119,8,FALSE)</f>
        <v>Rural</v>
      </c>
      <c r="G256" s="387"/>
      <c r="H256" s="380"/>
      <c r="I256" s="377" t="str">
        <f>IF(VLOOKUP($C256,'DB Link APP'!$A$2:$T$323,11,FALSE)=0,"",VLOOKUP($C256,'DB Link APP'!$A$2:$T$323,11,FALSE))</f>
        <v/>
      </c>
      <c r="J256" s="520" t="str">
        <f>IF(VLOOKUP($C256,'DB Link APP'!$A$2:$N$149,13,FALSE)="General","",VLOOKUP($C256,'DB Link APP'!$A$2:$N$149,13,FALSE))</f>
        <v/>
      </c>
      <c r="K256" s="506">
        <f>VLOOKUP($C256,'DB Link APP'!$A$2:$T$323,16,FALSE)</f>
        <v>0</v>
      </c>
      <c r="L256" s="485">
        <f>IF(ISNA(VLOOKUP(C256,'UW Rec Amts'!$A$2:$D$141,4,FALSE)),"",VLOOKUP(C256,'UW Rec Amts'!$A$2:$D$141,4,FALSE))</f>
        <v>0</v>
      </c>
      <c r="M256" s="385">
        <f>+SUM(L$254:L256)/K$252</f>
        <v>1.5926384015261861</v>
      </c>
      <c r="N256" s="485">
        <f t="shared" si="41"/>
        <v>0</v>
      </c>
      <c r="O256" s="480"/>
      <c r="P256" s="480"/>
      <c r="Q256" s="468">
        <f>+SUM(N256:P256)</f>
        <v>0</v>
      </c>
      <c r="R256" s="380" t="str">
        <f>+IF(N256&gt;0,"I",IF(O256&gt;0,"R",IF(P256&gt;0,"SW","")))</f>
        <v/>
      </c>
      <c r="S256" s="267" t="str">
        <f>IF(VLOOKUP($C256,'REA-PPR'!$A$2:$E$149,3,FALSE)="","",VLOOKUP($C256,'REA-PPR'!$A$2:$E$149,3,FALSE))</f>
        <v/>
      </c>
      <c r="T256" s="15" t="str">
        <f>IF(VLOOKUP(C256,'UW Rec Amts'!A:H,2,FALSE),"C","")</f>
        <v/>
      </c>
      <c r="U256" s="378" t="str">
        <f>IF(VLOOKUP($C256,'REA-PPR'!$A$2:$E$149,5,FALSE)="","No",VLOOKUP($C256,'REA-PPR'!$A$2:$E$149,5,FALSE))</f>
        <v>No</v>
      </c>
      <c r="Y256" s="15"/>
    </row>
    <row r="257" spans="1:25">
      <c r="C257" s="361"/>
      <c r="D257" s="357"/>
      <c r="E257" s="357"/>
      <c r="F257" s="356"/>
      <c r="G257" s="362"/>
      <c r="H257" s="362"/>
      <c r="I257" s="357"/>
      <c r="J257" s="522"/>
      <c r="K257" s="471"/>
      <c r="L257" s="471"/>
      <c r="M257" s="370"/>
      <c r="N257" s="471"/>
      <c r="O257" s="467"/>
      <c r="P257" s="471"/>
      <c r="Q257" s="467"/>
      <c r="R257" s="363"/>
      <c r="U257" s="378"/>
      <c r="V257" s="369"/>
      <c r="Y257" s="15"/>
    </row>
    <row r="258" spans="1:25" ht="14.25" customHeight="1">
      <c r="A258" s="24" t="e">
        <f>VLOOKUP($C256,#REF!,2,FALSE)</f>
        <v>#REF!</v>
      </c>
      <c r="B258" s="120" t="e">
        <f>VLOOKUP($C256,#REF!,6,FALSE)</f>
        <v>#REF!</v>
      </c>
      <c r="J258" s="272" t="s">
        <v>18</v>
      </c>
      <c r="K258" s="465">
        <f>+SUM(K253:K255)</f>
        <v>1449000</v>
      </c>
      <c r="L258" s="498" t="s">
        <v>19</v>
      </c>
      <c r="M258" s="243"/>
      <c r="N258" s="465">
        <f>+SUM(N253:N255)</f>
        <v>770000</v>
      </c>
      <c r="O258" s="465">
        <f>+SUM(O253:O255)</f>
        <v>679000</v>
      </c>
      <c r="P258" s="465">
        <f>+SUM(P253:P255)</f>
        <v>0</v>
      </c>
      <c r="Q258" s="465">
        <f>+SUM(Q253:Q255)</f>
        <v>1449000</v>
      </c>
      <c r="U258" s="378"/>
      <c r="V258" s="280"/>
      <c r="Y258" s="15"/>
    </row>
    <row r="259" spans="1:25" ht="17.25" customHeight="1">
      <c r="A259" s="27"/>
      <c r="B259" s="27"/>
      <c r="J259" s="524"/>
      <c r="L259" s="498" t="s">
        <v>20</v>
      </c>
      <c r="M259" s="243"/>
      <c r="N259" s="25">
        <f>1-SUM($N258:N258)/$K252</f>
        <v>0.15367041464792042</v>
      </c>
      <c r="O259" s="25">
        <f>1-SUM($N258:O258)/$K252</f>
        <v>-0.59263840152618608</v>
      </c>
      <c r="P259" s="25">
        <f>1-SUM($N258:P258)/$K252</f>
        <v>-0.59263840152618608</v>
      </c>
      <c r="Q259" s="25">
        <f>1-SUM($Q258:Q258)/$K252</f>
        <v>-0.59263840152618608</v>
      </c>
      <c r="U259" s="378"/>
    </row>
    <row r="260" spans="1:25">
      <c r="J260" s="524"/>
      <c r="M260" s="243"/>
      <c r="U260" s="378"/>
    </row>
    <row r="261" spans="1:25" ht="15.75">
      <c r="C261" s="354" t="s">
        <v>52</v>
      </c>
      <c r="D261" s="31" t="s">
        <v>14</v>
      </c>
      <c r="J261" s="272" t="str">
        <f>+J252</f>
        <v>Available</v>
      </c>
      <c r="K261" s="465">
        <f>+CEILING!L37</f>
        <v>6202213.9270492736</v>
      </c>
      <c r="M261" s="243"/>
      <c r="U261" s="378"/>
    </row>
    <row r="262" spans="1:25">
      <c r="C262" s="361"/>
      <c r="D262" s="357"/>
      <c r="E262" s="357"/>
      <c r="F262" s="356"/>
      <c r="G262" s="362"/>
      <c r="H262" s="362"/>
      <c r="I262" s="357"/>
      <c r="J262" s="522"/>
      <c r="K262" s="471"/>
      <c r="L262" s="471"/>
      <c r="M262" s="370"/>
      <c r="N262" s="471"/>
      <c r="O262" s="29"/>
      <c r="P262" s="362"/>
      <c r="Q262" s="467"/>
      <c r="R262" s="363"/>
      <c r="U262" s="378"/>
    </row>
    <row r="263" spans="1:25" ht="12.75">
      <c r="A263" s="129"/>
      <c r="B263" s="129"/>
      <c r="C263" s="404">
        <v>18358</v>
      </c>
      <c r="D263" s="386" t="str">
        <f>VLOOKUP($C263,'DB Link APP'!$A$2:$T$323,2,FALSE)</f>
        <v>Ovation Senior Living</v>
      </c>
      <c r="E263" s="386" t="str">
        <f>VLOOKUP($C263,'DB Link APP'!$A$2:$T$323,17,FALSE)</f>
        <v>Manish Verma</v>
      </c>
      <c r="F263" s="376" t="str">
        <f>VLOOKUP(C263,'DB Link APP'!$A$3:$U$140,8,FALSE)</f>
        <v>Urban</v>
      </c>
      <c r="G263" s="387"/>
      <c r="H263" s="380"/>
      <c r="I263" s="377" t="str">
        <f>IF(VLOOKUP($C263,'DB Link APP'!$A$2:$T$323,11,FALSE)=0,"",VLOOKUP($C263,'DB Link APP'!$A$2:$T$323,11,FALSE))</f>
        <v/>
      </c>
      <c r="J263" s="520" t="str">
        <f>IF(VLOOKUP($C263,'DB Link APP'!$A$2:$N$149,13,FALSE)="General","",VLOOKUP($C263,'DB Link APP'!$A$2:$N$149,13,FALSE))</f>
        <v>Elderly Limitation</v>
      </c>
      <c r="K263" s="507">
        <f>VLOOKUP($C263,'DB Link APP'!$A$2:$T$323,16,FALSE)</f>
        <v>1500000</v>
      </c>
      <c r="L263" s="485">
        <f>IF(ISNA(VLOOKUP(C263,'UW Rec Amts'!$A$2:$D$141,4,FALSE)),"",VLOOKUP(C263,'UW Rec Amts'!$A$2:$D$141,4,FALSE))</f>
        <v>1500000</v>
      </c>
      <c r="M263" s="403">
        <f>+SUM(L$263:L263)/K$261</f>
        <v>0.24184912317489676</v>
      </c>
      <c r="N263" s="485">
        <f>+IF(M263&lt;=1,L263,0)</f>
        <v>1500000</v>
      </c>
      <c r="O263" s="118"/>
      <c r="P263" s="480"/>
      <c r="Q263" s="468">
        <f>+SUM(N263:P263)</f>
        <v>1500000</v>
      </c>
      <c r="R263" s="380" t="s">
        <v>710</v>
      </c>
      <c r="S263" s="267" t="str">
        <f>IF(VLOOKUP($C263,'REA-PPR'!$A$2:$E$149,3,FALSE)="","",VLOOKUP($C263,'REA-PPR'!$A$2:$E$149,3,FALSE))</f>
        <v/>
      </c>
      <c r="T263" s="15" t="str">
        <f>IF(VLOOKUP(C263,'UW Rec Amts'!A:H,2,FALSE),"C","")</f>
        <v>C</v>
      </c>
      <c r="U263" s="378" t="str">
        <f>IF(VLOOKUP($C263,'REA-PPR'!$A$2:$E$149,5,FALSE)="","No",VLOOKUP($C263,'REA-PPR'!$A$2:$E$149,5,FALSE))</f>
        <v>No</v>
      </c>
      <c r="V263" s="89"/>
    </row>
    <row r="264" spans="1:25" ht="12.75">
      <c r="A264" s="129"/>
      <c r="B264" s="129"/>
      <c r="C264" s="390">
        <v>18357</v>
      </c>
      <c r="D264" s="386" t="str">
        <f>VLOOKUP($C264,'DB Link APP'!$A$2:$T$323,2,FALSE)</f>
        <v>Capella</v>
      </c>
      <c r="E264" s="386" t="str">
        <f>VLOOKUP($C264,'DB Link APP'!$A$2:$T$323,17,FALSE)</f>
        <v>Manish Verma</v>
      </c>
      <c r="F264" s="376" t="str">
        <f>VLOOKUP(C264,'DB Link APP'!$A$3:$U$140,8,FALSE)</f>
        <v>Urban</v>
      </c>
      <c r="G264" s="387"/>
      <c r="H264" s="380"/>
      <c r="I264" s="377" t="str">
        <f>IF(VLOOKUP($C264,'DB Link APP'!$A$2:$T$323,11,FALSE)=0,"",VLOOKUP($C264,'DB Link APP'!$A$2:$T$323,11,FALSE))</f>
        <v/>
      </c>
      <c r="J264" s="520" t="str">
        <f>IF(VLOOKUP($C264,'DB Link APP'!$A$2:$N$149,13,FALSE)="General","",VLOOKUP($C264,'DB Link APP'!$A$2:$N$149,13,FALSE))</f>
        <v/>
      </c>
      <c r="K264" s="506">
        <f>VLOOKUP($C264,'DB Link APP'!$A$2:$T$323,16,FALSE)</f>
        <v>1500000</v>
      </c>
      <c r="L264" s="485">
        <f>IF(ISNA(VLOOKUP(C264,'UW Rec Amts'!$A$2:$D$141,4,FALSE)),"",VLOOKUP(C264,'UW Rec Amts'!$A$2:$D$141,4,FALSE))</f>
        <v>1500000</v>
      </c>
      <c r="M264" s="403">
        <f>+SUM(L$263:L264)/K$261</f>
        <v>0.48369824634979353</v>
      </c>
      <c r="N264" s="485">
        <f t="shared" ref="N264:N274" si="42">+IF(M264&lt;=1,L264,0)</f>
        <v>1500000</v>
      </c>
      <c r="O264" s="118"/>
      <c r="P264" s="480"/>
      <c r="Q264" s="468">
        <f t="shared" ref="Q264:Q274" si="43">+SUM(N264:P264)</f>
        <v>1500000</v>
      </c>
      <c r="R264" s="380" t="s">
        <v>710</v>
      </c>
      <c r="S264" s="267" t="str">
        <f>IF(VLOOKUP($C264,'REA-PPR'!$A$2:$E$149,3,FALSE)="","",VLOOKUP($C264,'REA-PPR'!$A$2:$E$149,3,FALSE))</f>
        <v/>
      </c>
      <c r="T264" s="15" t="str">
        <f>IF(VLOOKUP(C264,'UW Rec Amts'!A:H,2,FALSE),"C","")</f>
        <v>C</v>
      </c>
      <c r="U264" s="378" t="str">
        <f>IF(VLOOKUP($C264,'REA-PPR'!$A$2:$E$149,5,FALSE)="","No",VLOOKUP($C264,'REA-PPR'!$A$2:$E$149,5,FALSE))</f>
        <v>No</v>
      </c>
      <c r="V264" s="89"/>
    </row>
    <row r="265" spans="1:25" ht="12.75">
      <c r="A265" s="128" t="e">
        <f>VLOOKUP($C274,#REF!,2,FALSE)</f>
        <v>#REF!</v>
      </c>
      <c r="B265" s="128" t="e">
        <f>VLOOKUP($C274,#REF!,6,FALSE)</f>
        <v>#REF!</v>
      </c>
      <c r="C265" s="390">
        <v>18188</v>
      </c>
      <c r="D265" s="386" t="str">
        <f>VLOOKUP($C265,'DB Link APP'!$A$2:$T$323,2,FALSE)</f>
        <v>Avanti at Sienna Palms Legacy</v>
      </c>
      <c r="E265" s="386" t="str">
        <f>VLOOKUP($C265,'DB Link APP'!$A$2:$T$323,17,FALSE)</f>
        <v>Henry Flores</v>
      </c>
      <c r="F265" s="376" t="str">
        <f>VLOOKUP(C265,'DB Link APP'!$A$3:$U$140,8,FALSE)</f>
        <v>Urban</v>
      </c>
      <c r="G265" s="387"/>
      <c r="H265" s="380"/>
      <c r="I265" s="377" t="str">
        <f>IF(VLOOKUP($C265,'DB Link APP'!$A$2:$T$323,11,FALSE)=0,"",VLOOKUP($C265,'DB Link APP'!$A$2:$T$323,11,FALSE))</f>
        <v/>
      </c>
      <c r="J265" s="520" t="str">
        <f>IF(VLOOKUP($C265,'DB Link APP'!$A$2:$N$149,13,FALSE)="General","",VLOOKUP($C265,'DB Link APP'!$A$2:$N$149,13,FALSE))</f>
        <v>Elderly Limitation</v>
      </c>
      <c r="K265" s="507">
        <f>VLOOKUP($C265,'DB Link APP'!$A$2:$T$323,16,FALSE)</f>
        <v>1500000</v>
      </c>
      <c r="L265" s="485">
        <f>IF(ISNA(VLOOKUP(C265,'UW Rec Amts'!$A$2:$D$141,4,FALSE)),"",VLOOKUP(C265,'UW Rec Amts'!$A$2:$D$141,4,FALSE))</f>
        <v>1500000</v>
      </c>
      <c r="M265" s="403">
        <f>+SUM(L$263:L265)/K$261</f>
        <v>0.72554736952469034</v>
      </c>
      <c r="N265" s="485">
        <f t="shared" si="42"/>
        <v>1500000</v>
      </c>
      <c r="O265" s="118"/>
      <c r="P265" s="480"/>
      <c r="Q265" s="468">
        <f t="shared" si="43"/>
        <v>1500000</v>
      </c>
      <c r="R265" s="380" t="s">
        <v>710</v>
      </c>
      <c r="S265" s="267" t="str">
        <f>IF(VLOOKUP($C265,'REA-PPR'!$A$2:$E$149,3,FALSE)="","",VLOOKUP($C265,'REA-PPR'!$A$2:$E$149,3,FALSE))</f>
        <v/>
      </c>
      <c r="T265" s="15" t="str">
        <f>IF(VLOOKUP(C265,'UW Rec Amts'!A:H,2,FALSE),"C","")</f>
        <v>C</v>
      </c>
      <c r="U265" s="378" t="str">
        <f>IF(VLOOKUP($C265,'REA-PPR'!$A$2:$E$149,5,FALSE)="","No",VLOOKUP($C265,'REA-PPR'!$A$2:$E$149,5,FALSE))</f>
        <v>No</v>
      </c>
      <c r="V265" s="89"/>
    </row>
    <row r="266" spans="1:25" ht="12.75">
      <c r="A266" s="129"/>
      <c r="B266" s="129"/>
      <c r="C266" s="390">
        <v>18208</v>
      </c>
      <c r="D266" s="386" t="str">
        <f>VLOOKUP($C266,'DB Link APP'!$A$2:$T$323,2,FALSE)</f>
        <v>Midway Villas</v>
      </c>
      <c r="E266" s="386" t="str">
        <f>VLOOKUP($C266,'DB Link APP'!$A$2:$T$323,17,FALSE)</f>
        <v>Steve Lollis</v>
      </c>
      <c r="F266" s="376" t="str">
        <f>VLOOKUP(C266,'DB Link APP'!$A$3:$U$140,8,FALSE)</f>
        <v>Urban</v>
      </c>
      <c r="G266" s="387"/>
      <c r="H266" s="380"/>
      <c r="I266" s="377" t="str">
        <f>IF(VLOOKUP($C266,'DB Link APP'!$A$2:$T$323,11,FALSE)=0,"",VLOOKUP($C266,'DB Link APP'!$A$2:$T$323,11,FALSE))</f>
        <v/>
      </c>
      <c r="J266" s="520" t="str">
        <f>IF(VLOOKUP($C266,'DB Link APP'!$A$2:$N$149,13,FALSE)="General","",VLOOKUP($C266,'DB Link APP'!$A$2:$N$149,13,FALSE))</f>
        <v>Elderly Limitation</v>
      </c>
      <c r="K266" s="507">
        <f>VLOOKUP($C266,'DB Link APP'!$A$2:$T$323,16,FALSE)</f>
        <v>1315170</v>
      </c>
      <c r="L266" s="485">
        <f>IF(ISNA(VLOOKUP(C266,'UW Rec Amts'!$A$2:$D$141,4,FALSE)),"",VLOOKUP(C266,'UW Rec Amts'!$A$2:$D$141,4,FALSE))</f>
        <v>1315170</v>
      </c>
      <c r="M266" s="403">
        <f>+SUM(L$263:L266)/K$261</f>
        <v>0.93759584374197635</v>
      </c>
      <c r="N266" s="485">
        <f t="shared" si="42"/>
        <v>1315170</v>
      </c>
      <c r="O266" s="118"/>
      <c r="P266" s="480"/>
      <c r="Q266" s="468">
        <f t="shared" si="43"/>
        <v>1315170</v>
      </c>
      <c r="R266" s="380" t="s">
        <v>710</v>
      </c>
      <c r="S266" s="267" t="str">
        <f>IF(VLOOKUP($C266,'REA-PPR'!$A$2:$E$149,3,FALSE)="","",VLOOKUP($C266,'REA-PPR'!$A$2:$E$149,3,FALSE))</f>
        <v/>
      </c>
      <c r="T266" s="15" t="str">
        <f>IF(VLOOKUP(C266,'UW Rec Amts'!A:H,2,FALSE),"C","")</f>
        <v>C</v>
      </c>
      <c r="U266" s="378" t="str">
        <f>IF(VLOOKUP($C266,'REA-PPR'!$A$2:$E$149,5,FALSE)="","No",VLOOKUP($C266,'REA-PPR'!$A$2:$E$149,5,FALSE))</f>
        <v>No</v>
      </c>
      <c r="V266" s="89"/>
    </row>
    <row r="267" spans="1:25" ht="12.75">
      <c r="A267" s="129"/>
      <c r="B267" s="129"/>
      <c r="C267" s="390">
        <v>18293</v>
      </c>
      <c r="D267" s="386" t="str">
        <f>VLOOKUP($C267,'DB Link APP'!$A$2:$T$323,2,FALSE)</f>
        <v>Silver Spur Apartments</v>
      </c>
      <c r="E267" s="386" t="str">
        <f>VLOOKUP($C267,'DB Link APP'!$A$2:$T$323,17,FALSE)</f>
        <v>Tim Lang</v>
      </c>
      <c r="F267" s="376" t="str">
        <f>VLOOKUP(C267,'DB Link APP'!$A$3:$U$140,8,FALSE)</f>
        <v>Urban</v>
      </c>
      <c r="G267" s="387"/>
      <c r="H267" s="380"/>
      <c r="I267" s="377" t="str">
        <f>IF(VLOOKUP($C267,'DB Link APP'!$A$2:$T$323,11,FALSE)=0,"",VLOOKUP($C267,'DB Link APP'!$A$2:$T$323,11,FALSE))</f>
        <v/>
      </c>
      <c r="J267" s="520" t="str">
        <f>IF(VLOOKUP($C267,'DB Link APP'!$A$2:$N$149,13,FALSE)="General","",VLOOKUP($C267,'DB Link APP'!$A$2:$N$149,13,FALSE))</f>
        <v/>
      </c>
      <c r="K267" s="506">
        <f>VLOOKUP($C267,'DB Link APP'!$A$2:$T$323,16,FALSE)</f>
        <v>1500000</v>
      </c>
      <c r="L267" s="485">
        <f>IF(ISNA(VLOOKUP(C267,'UW Rec Amts'!$A$2:$D$141,4,FALSE)),"",VLOOKUP(C267,'UW Rec Amts'!$A$2:$D$141,4,FALSE))</f>
        <v>1500000</v>
      </c>
      <c r="M267" s="403">
        <f>+SUM(L$263:L267)/K$261</f>
        <v>1.1794449669168732</v>
      </c>
      <c r="N267" s="485">
        <f t="shared" si="42"/>
        <v>0</v>
      </c>
      <c r="O267" s="118"/>
      <c r="P267" s="480">
        <f>L267</f>
        <v>1500000</v>
      </c>
      <c r="Q267" s="468">
        <f t="shared" si="43"/>
        <v>1500000</v>
      </c>
      <c r="R267" s="380" t="s">
        <v>711</v>
      </c>
      <c r="S267" s="267" t="str">
        <f>IF(VLOOKUP($C267,'REA-PPR'!$A$2:$E$149,3,FALSE)="","",VLOOKUP($C267,'REA-PPR'!$A$2:$E$149,3,FALSE))</f>
        <v/>
      </c>
      <c r="T267" s="15" t="str">
        <f>IF(VLOOKUP(C267,'UW Rec Amts'!A:H,2,FALSE),"C","")</f>
        <v>C</v>
      </c>
      <c r="U267" s="378" t="str">
        <f>IF(VLOOKUP($C267,'REA-PPR'!$A$2:$E$149,5,FALSE)="","No",VLOOKUP($C267,'REA-PPR'!$A$2:$E$149,5,FALSE))</f>
        <v>No</v>
      </c>
      <c r="V267" s="89"/>
    </row>
    <row r="268" spans="1:25" s="351" customFormat="1" ht="12.75" customHeight="1">
      <c r="A268" s="348" t="e">
        <f>VLOOKUP($C262,#REF!,2,FALSE)</f>
        <v>#REF!</v>
      </c>
      <c r="B268" s="355" t="e">
        <f>VLOOKUP($C262,#REF!,6,FALSE)</f>
        <v>#REF!</v>
      </c>
      <c r="C268" s="390">
        <v>18148</v>
      </c>
      <c r="D268" s="396" t="str">
        <f>VLOOKUP($C268,'DB Link APP'!$A$2:$T$323,2,FALSE)</f>
        <v>Palmview Village</v>
      </c>
      <c r="E268" s="396" t="str">
        <f>VLOOKUP($C268,'DB Link APP'!$A$2:$T$323,17,FALSE)</f>
        <v>Jeremy Mears</v>
      </c>
      <c r="F268" s="376" t="str">
        <f>VLOOKUP(C268,'DB Link APP'!$A$3:$U$140,8,FALSE)</f>
        <v>Urban</v>
      </c>
      <c r="G268" s="397"/>
      <c r="H268" s="398"/>
      <c r="I268" s="399" t="str">
        <f>IF(VLOOKUP($C268,'DB Link APP'!$A$2:$T$323,11,FALSE)=0,"",VLOOKUP($C268,'DB Link APP'!$A$2:$T$323,11,FALSE))</f>
        <v/>
      </c>
      <c r="J268" s="520" t="str">
        <f>IF(VLOOKUP($C268,'DB Link APP'!$A$2:$N$149,13,FALSE)="General","",VLOOKUP($C268,'DB Link APP'!$A$2:$N$149,13,FALSE))</f>
        <v/>
      </c>
      <c r="K268" s="513">
        <f>VLOOKUP($C268,'DB Link APP'!$A$2:$T$323,16,FALSE)</f>
        <v>1030000</v>
      </c>
      <c r="L268" s="485">
        <f>IF(ISNA(VLOOKUP(C268,'UW Rec Amts'!$A$2:$D$141,4,FALSE)),"",VLOOKUP(C268,'UW Rec Amts'!$A$2:$D$141,4,FALSE))</f>
        <v>1030000</v>
      </c>
      <c r="M268" s="403">
        <f>+SUM(L$263:L268)/K$261</f>
        <v>1.3455146981636354</v>
      </c>
      <c r="N268" s="485">
        <f t="shared" si="42"/>
        <v>0</v>
      </c>
      <c r="O268" s="118"/>
      <c r="P268" s="480"/>
      <c r="Q268" s="468">
        <f t="shared" si="43"/>
        <v>0</v>
      </c>
      <c r="R268" s="380" t="s">
        <v>711</v>
      </c>
      <c r="S268" s="267" t="str">
        <f>IF(VLOOKUP($C268,'REA-PPR'!$A$2:$E$149,3,FALSE)="","",VLOOKUP($C268,'REA-PPR'!$A$2:$E$149,3,FALSE))</f>
        <v/>
      </c>
      <c r="T268" s="15" t="str">
        <f>IF(VLOOKUP(C268,'UW Rec Amts'!A:H,2,FALSE),"C","")</f>
        <v>C</v>
      </c>
      <c r="U268" s="378" t="str">
        <f>IF(VLOOKUP($C268,'REA-PPR'!$A$2:$E$149,5,FALSE)="","No",VLOOKUP($C268,'REA-PPR'!$A$2:$E$149,5,FALSE))</f>
        <v>No</v>
      </c>
      <c r="V268" s="352"/>
      <c r="Y268" s="353"/>
    </row>
    <row r="269" spans="1:25" ht="12.75">
      <c r="A269" s="129"/>
      <c r="B269" s="129"/>
      <c r="C269" s="390">
        <v>18196</v>
      </c>
      <c r="D269" s="386" t="str">
        <f>VLOOKUP($C269,'DB Link APP'!$A$2:$T$323,2,FALSE)</f>
        <v>North Alamo Heights</v>
      </c>
      <c r="E269" s="386" t="str">
        <f>VLOOKUP($C269,'DB Link APP'!$A$2:$T$323,17,FALSE)</f>
        <v>Steve Lollis</v>
      </c>
      <c r="F269" s="376" t="str">
        <f>VLOOKUP(C269,'DB Link APP'!$A$3:$U$140,8,FALSE)</f>
        <v>Urban</v>
      </c>
      <c r="G269" s="387"/>
      <c r="H269" s="380"/>
      <c r="I269" s="377" t="str">
        <f>IF(VLOOKUP($C269,'DB Link APP'!$A$2:$T$323,11,FALSE)=0,"",VLOOKUP($C269,'DB Link APP'!$A$2:$T$323,11,FALSE))</f>
        <v/>
      </c>
      <c r="J269" s="520" t="str">
        <f>IF(VLOOKUP($C269,'DB Link APP'!$A$2:$N$149,13,FALSE)="General","",VLOOKUP($C269,'DB Link APP'!$A$2:$N$149,13,FALSE))</f>
        <v/>
      </c>
      <c r="K269" s="506">
        <f>VLOOKUP($C269,'DB Link APP'!$A$2:$T$323,16,FALSE)</f>
        <v>1500000</v>
      </c>
      <c r="L269" s="485">
        <f>IF(ISNA(VLOOKUP(C269,'UW Rec Amts'!$A$2:$D$141,4,FALSE)),"",VLOOKUP(C269,'UW Rec Amts'!$A$2:$D$141,4,FALSE))</f>
        <v>1500000</v>
      </c>
      <c r="M269" s="403">
        <f>+SUM(L$263:L269)/K$261</f>
        <v>1.5873638213385324</v>
      </c>
      <c r="N269" s="485">
        <f t="shared" si="42"/>
        <v>0</v>
      </c>
      <c r="O269" s="118"/>
      <c r="P269" s="480"/>
      <c r="Q269" s="468">
        <f t="shared" si="43"/>
        <v>0</v>
      </c>
      <c r="R269" s="380" t="str">
        <f t="shared" ref="R269:R272" si="44">+IF(N269&gt;0,"I",IF(O269&gt;0,"R",IF(P269&gt;0,"SW","")))</f>
        <v/>
      </c>
      <c r="S269" s="267" t="str">
        <f>IF(VLOOKUP($C269,'REA-PPR'!$A$2:$E$149,3,FALSE)="","",VLOOKUP($C269,'REA-PPR'!$A$2:$E$149,3,FALSE))</f>
        <v/>
      </c>
      <c r="T269" s="15" t="str">
        <f>IF(VLOOKUP(C269,'UW Rec Amts'!A:H,2,FALSE),"C","")</f>
        <v>C</v>
      </c>
      <c r="U269" s="378" t="str">
        <f>IF(VLOOKUP($C269,'REA-PPR'!$A$2:$E$149,5,FALSE)="","No",VLOOKUP($C269,'REA-PPR'!$A$2:$E$149,5,FALSE))</f>
        <v>No</v>
      </c>
      <c r="V269" s="89"/>
    </row>
    <row r="270" spans="1:25" ht="12.75">
      <c r="A270" s="129"/>
      <c r="B270" s="129"/>
      <c r="C270" s="390">
        <v>18206</v>
      </c>
      <c r="D270" s="386" t="str">
        <f>VLOOKUP($C270,'DB Link APP'!$A$2:$T$323,2,FALSE)</f>
        <v>Ridge Villas</v>
      </c>
      <c r="E270" s="386" t="str">
        <f>VLOOKUP($C270,'DB Link APP'!$A$2:$T$323,17,FALSE)</f>
        <v>Steve Lollis</v>
      </c>
      <c r="F270" s="376" t="str">
        <f>VLOOKUP(C270,'DB Link APP'!$A$3:$U$140,8,FALSE)</f>
        <v>Urban</v>
      </c>
      <c r="G270" s="387"/>
      <c r="H270" s="380"/>
      <c r="I270" s="377" t="str">
        <f>IF(VLOOKUP($C270,'DB Link APP'!$A$2:$T$323,11,FALSE)=0,"",VLOOKUP($C270,'DB Link APP'!$A$2:$T$323,11,FALSE))</f>
        <v/>
      </c>
      <c r="J270" s="520" t="str">
        <f>IF(VLOOKUP($C270,'DB Link APP'!$A$2:$N$149,13,FALSE)="General","",VLOOKUP($C270,'DB Link APP'!$A$2:$N$149,13,FALSE))</f>
        <v/>
      </c>
      <c r="K270" s="506">
        <f>VLOOKUP($C270,'DB Link APP'!$A$2:$T$323,16,FALSE)</f>
        <v>1500000</v>
      </c>
      <c r="L270" s="485">
        <f>IF(ISNA(VLOOKUP(C270,'UW Rec Amts'!$A$2:$D$141,4,FALSE)),"",VLOOKUP(C270,'UW Rec Amts'!$A$2:$D$141,4,FALSE))</f>
        <v>1500000</v>
      </c>
      <c r="M270" s="403">
        <f>+SUM(L$263:L270)/K$261</f>
        <v>1.8292129445134291</v>
      </c>
      <c r="N270" s="485">
        <f t="shared" si="42"/>
        <v>0</v>
      </c>
      <c r="O270" s="118"/>
      <c r="P270" s="480"/>
      <c r="Q270" s="468">
        <f t="shared" si="43"/>
        <v>0</v>
      </c>
      <c r="R270" s="380" t="str">
        <f t="shared" si="44"/>
        <v/>
      </c>
      <c r="S270" s="267" t="str">
        <f>IF(VLOOKUP($C270,'REA-PPR'!$A$2:$E$149,3,FALSE)="","",VLOOKUP($C270,'REA-PPR'!$A$2:$E$149,3,FALSE))</f>
        <v/>
      </c>
      <c r="T270" s="15" t="str">
        <f>IF(VLOOKUP(C270,'UW Rec Amts'!A:H,2,FALSE),"C","")</f>
        <v>C</v>
      </c>
      <c r="U270" s="378" t="str">
        <f>IF(VLOOKUP($C270,'REA-PPR'!$A$2:$E$149,5,FALSE)="","No",VLOOKUP($C270,'REA-PPR'!$A$2:$E$149,5,FALSE))</f>
        <v>No</v>
      </c>
      <c r="V270" s="89"/>
    </row>
    <row r="271" spans="1:25" ht="12.75">
      <c r="A271" s="129"/>
      <c r="B271" s="129"/>
      <c r="C271" s="390">
        <v>18255</v>
      </c>
      <c r="D271" s="386" t="str">
        <f>VLOOKUP($C271,'DB Link APP'!$A$2:$T$323,2,FALSE)</f>
        <v xml:space="preserve">Pendleton Square </v>
      </c>
      <c r="E271" s="386" t="str">
        <f>VLOOKUP($C271,'DB Link APP'!$A$2:$T$323,17,FALSE)</f>
        <v>Justin Zimmerman</v>
      </c>
      <c r="F271" s="376" t="str">
        <f>VLOOKUP(C271,'DB Link APP'!$A$3:$U$140,8,FALSE)</f>
        <v>Urban</v>
      </c>
      <c r="G271" s="387"/>
      <c r="H271" s="380"/>
      <c r="I271" s="377" t="str">
        <f>IF(VLOOKUP($C271,'DB Link APP'!$A$2:$T$323,11,FALSE)=0,"",VLOOKUP($C271,'DB Link APP'!$A$2:$T$323,11,FALSE))</f>
        <v/>
      </c>
      <c r="J271" s="520" t="str">
        <f>IF(VLOOKUP($C271,'DB Link APP'!$A$2:$N$149,13,FALSE)="General","",VLOOKUP($C271,'DB Link APP'!$A$2:$N$149,13,FALSE))</f>
        <v/>
      </c>
      <c r="K271" s="506">
        <f>VLOOKUP($C271,'DB Link APP'!$A$2:$T$323,16,FALSE)</f>
        <v>803000</v>
      </c>
      <c r="L271" s="485">
        <f>IF(ISNA(VLOOKUP(C271,'UW Rec Amts'!$A$2:$D$141,4,FALSE)),"",VLOOKUP(C271,'UW Rec Amts'!$A$2:$D$141,4,FALSE))</f>
        <v>803000</v>
      </c>
      <c r="M271" s="403">
        <f>+SUM(L$263:L271)/K$261</f>
        <v>1.9586828417863904</v>
      </c>
      <c r="N271" s="485">
        <f t="shared" si="42"/>
        <v>0</v>
      </c>
      <c r="O271" s="118"/>
      <c r="P271" s="480"/>
      <c r="Q271" s="468">
        <f t="shared" si="43"/>
        <v>0</v>
      </c>
      <c r="R271" s="380" t="str">
        <f t="shared" si="44"/>
        <v/>
      </c>
      <c r="S271" s="267" t="str">
        <f>IF(VLOOKUP($C271,'REA-PPR'!$A$2:$E$149,3,FALSE)="","",VLOOKUP($C271,'REA-PPR'!$A$2:$E$149,3,FALSE))</f>
        <v/>
      </c>
      <c r="T271" s="15" t="str">
        <f>IF(VLOOKUP(C271,'UW Rec Amts'!A:H,2,FALSE),"C","")</f>
        <v>C</v>
      </c>
      <c r="U271" s="378" t="str">
        <f>IF(VLOOKUP($C271,'REA-PPR'!$A$2:$E$149,5,FALSE)="","No",VLOOKUP($C271,'REA-PPR'!$A$2:$E$149,5,FALSE))</f>
        <v>No</v>
      </c>
      <c r="V271" s="89"/>
    </row>
    <row r="272" spans="1:25" ht="12.75">
      <c r="A272" s="129"/>
      <c r="B272" s="129"/>
      <c r="C272" s="390">
        <v>18239</v>
      </c>
      <c r="D272" s="386" t="str">
        <f>VLOOKUP($C272,'DB Link APP'!$A$2:$T$323,2,FALSE)</f>
        <v>Casitas Palo Alto</v>
      </c>
      <c r="E272" s="386" t="str">
        <f>VLOOKUP($C272,'DB Link APP'!$A$2:$T$323,17,FALSE)</f>
        <v>Mark Moseley</v>
      </c>
      <c r="F272" s="376" t="str">
        <f>VLOOKUP(C272,'DB Link APP'!$A$3:$U$140,8,FALSE)</f>
        <v>Urban</v>
      </c>
      <c r="G272" s="387"/>
      <c r="H272" s="380"/>
      <c r="I272" s="377" t="str">
        <f>IF(VLOOKUP($C272,'DB Link APP'!$A$2:$T$323,11,FALSE)=0,"",VLOOKUP($C272,'DB Link APP'!$A$2:$T$323,11,FALSE))</f>
        <v/>
      </c>
      <c r="J272" s="520" t="str">
        <f>IF(VLOOKUP($C272,'DB Link APP'!$A$2:$N$149,13,FALSE)="General","",VLOOKUP($C272,'DB Link APP'!$A$2:$N$149,13,FALSE))</f>
        <v/>
      </c>
      <c r="K272" s="506">
        <f>VLOOKUP($C272,'DB Link APP'!$A$2:$T$323,16,FALSE)</f>
        <v>1118000</v>
      </c>
      <c r="L272" s="485">
        <f>IF(ISNA(VLOOKUP(C272,'UW Rec Amts'!$A$2:$D$141,4,FALSE)),"",VLOOKUP(C272,'UW Rec Amts'!$A$2:$D$141,4,FALSE))</f>
        <v>1118000</v>
      </c>
      <c r="M272" s="403">
        <f>+SUM(L$263:L272)/K$261</f>
        <v>2.1389410549260801</v>
      </c>
      <c r="N272" s="485">
        <f t="shared" si="42"/>
        <v>0</v>
      </c>
      <c r="O272" s="118"/>
      <c r="P272" s="480"/>
      <c r="Q272" s="468">
        <f t="shared" si="43"/>
        <v>0</v>
      </c>
      <c r="R272" s="380" t="str">
        <f t="shared" si="44"/>
        <v/>
      </c>
      <c r="S272" s="267" t="str">
        <f>IF(VLOOKUP($C272,'REA-PPR'!$A$2:$E$149,3,FALSE)="","",VLOOKUP($C272,'REA-PPR'!$A$2:$E$149,3,FALSE))</f>
        <v/>
      </c>
      <c r="T272" s="15" t="str">
        <f>IF(VLOOKUP(C272,'UW Rec Amts'!A:H,2,FALSE),"C","")</f>
        <v>C</v>
      </c>
      <c r="U272" s="378" t="str">
        <f>IF(VLOOKUP($C272,'REA-PPR'!$A$2:$E$149,5,FALSE)="","No",VLOOKUP($C272,'REA-PPR'!$A$2:$E$149,5,FALSE))</f>
        <v>No</v>
      </c>
      <c r="V272" s="89"/>
    </row>
    <row r="273" spans="1:25" ht="12.75" hidden="1">
      <c r="A273" s="129"/>
      <c r="B273" s="129"/>
      <c r="C273" s="408">
        <v>18294</v>
      </c>
      <c r="D273" s="386" t="str">
        <f>VLOOKUP($C273,'DB Link APP'!$A$2:$T$323,2,FALSE)</f>
        <v>The Legacy</v>
      </c>
      <c r="E273" s="386" t="str">
        <f>VLOOKUP($C273,'DB Link APP'!$A$2:$T$323,17,FALSE)</f>
        <v>Tim Lang</v>
      </c>
      <c r="F273" s="376" t="str">
        <f>VLOOKUP(C273,'DB Link APP'!$A$3:$U$140,8,FALSE)</f>
        <v>Urban</v>
      </c>
      <c r="G273" s="387"/>
      <c r="H273" s="380"/>
      <c r="I273" s="377" t="str">
        <f>IF(VLOOKUP($C273,'DB Link APP'!$A$2:$T$323,11,FALSE)=0,"",VLOOKUP($C273,'DB Link APP'!$A$2:$T$323,11,FALSE))</f>
        <v/>
      </c>
      <c r="J273" s="520" t="str">
        <f>IF(VLOOKUP($C273,'REA-PPR'!$A$2:$E$149,5,FALSE)="","No",VLOOKUP($C273,'REA-PPR'!$A$2:$E$149,5,FALSE))</f>
        <v>No</v>
      </c>
      <c r="K273" s="507">
        <f>VLOOKUP($C273,'DB Link APP'!$A$2:$T$323,16,FALSE)</f>
        <v>0</v>
      </c>
      <c r="L273" s="485">
        <f>IF(ISNA(VLOOKUP(C273,'UW Rec Amts'!$A$2:$D$141,4,FALSE)),"",VLOOKUP(C273,'UW Rec Amts'!$A$2:$D$141,4,FALSE))</f>
        <v>0</v>
      </c>
      <c r="M273" s="403">
        <f>+SUM(L$263:L273)/K$261</f>
        <v>2.1389410549260801</v>
      </c>
      <c r="N273" s="485">
        <f>+IF(M273&lt;=1,L273,0)</f>
        <v>0</v>
      </c>
      <c r="O273" s="118"/>
      <c r="P273" s="480"/>
      <c r="Q273" s="468">
        <f>+SUM(N273:P273)</f>
        <v>0</v>
      </c>
      <c r="R273" s="380" t="str">
        <f t="shared" ref="R273" si="45">+IF(N273&gt;0,"I",IF(O273&gt;0,"R",IF(P273&gt;0,"SW","")))</f>
        <v/>
      </c>
      <c r="S273" s="267" t="str">
        <f>IF(VLOOKUP($C273,'REA-PPR'!$A$2:$E$149,3,FALSE)="","",VLOOKUP($C273,'REA-PPR'!$A$2:$E$149,3,FALSE))</f>
        <v/>
      </c>
      <c r="T273" s="15" t="str">
        <f>IF(VLOOKUP(C273,'UW Rec Amts'!A:H,2,FALSE),"C","")</f>
        <v/>
      </c>
      <c r="U273" s="378" t="str">
        <f>IF(VLOOKUP($C273,'REA-PPR'!$A$2:$E$149,5,FALSE)="","No",VLOOKUP($C273,'REA-PPR'!$A$2:$E$149,5,FALSE))</f>
        <v>No</v>
      </c>
      <c r="V273" s="89"/>
    </row>
    <row r="274" spans="1:25" ht="12.75" hidden="1">
      <c r="C274" s="408">
        <v>18103</v>
      </c>
      <c r="D274" s="386" t="str">
        <f>VLOOKUP($C274,'DB Link APP'!$A$2:$T$323,2,FALSE)</f>
        <v>Zinnia Gardens Apartments</v>
      </c>
      <c r="E274" s="386" t="str">
        <f>VLOOKUP($C274,'DB Link APP'!$A$2:$T$323,17,FALSE)</f>
        <v>Sunny K. Philip</v>
      </c>
      <c r="F274" s="376" t="str">
        <f>VLOOKUP(C274,'DB Link APP'!$A$3:$U$140,8,FALSE)</f>
        <v>Urban</v>
      </c>
      <c r="G274" s="387"/>
      <c r="H274" s="380"/>
      <c r="I274" s="377" t="str">
        <f>IF(VLOOKUP($C274,'DB Link APP'!$A$2:$T$323,11,FALSE)=0,"",VLOOKUP($C274,'DB Link APP'!$A$2:$T$323,11,FALSE))</f>
        <v/>
      </c>
      <c r="J274" s="520" t="str">
        <f>IF(VLOOKUP($C274,'REA-PPR'!$A$2:$E$149,5,FALSE)="","No",VLOOKUP($C274,'REA-PPR'!$A$2:$E$149,5,FALSE))</f>
        <v>No</v>
      </c>
      <c r="K274" s="506">
        <f>VLOOKUP($C274,'DB Link APP'!$A$2:$T$323,16,FALSE)</f>
        <v>0</v>
      </c>
      <c r="L274" s="485">
        <f>IF(ISNA(VLOOKUP(C274,'UW Rec Amts'!$A$2:$D$141,4,FALSE)),"",VLOOKUP(C274,'UW Rec Amts'!$A$2:$D$141,4,FALSE))</f>
        <v>0</v>
      </c>
      <c r="M274" s="403"/>
      <c r="N274" s="485">
        <f t="shared" si="42"/>
        <v>0</v>
      </c>
      <c r="O274" s="350"/>
      <c r="P274" s="517"/>
      <c r="Q274" s="468">
        <f t="shared" si="43"/>
        <v>0</v>
      </c>
      <c r="R274" s="398" t="str">
        <f t="shared" ref="R274" si="46">+IF(N274&gt;0,"I",IF(O274&gt;0,"R",IF(P274&gt;0,"SW","")))</f>
        <v/>
      </c>
      <c r="S274" s="349" t="str">
        <f>IF(VLOOKUP($C274,'REA-PPR'!$A$2:$E$149,3,FALSE)="","",VLOOKUP($C274,'REA-PPR'!$A$2:$E$149,3,FALSE))</f>
        <v/>
      </c>
      <c r="T274" s="351" t="str">
        <f>IF(VLOOKUP(C274,'UW Rec Amts'!A:H,2,FALSE),"C","")</f>
        <v/>
      </c>
      <c r="U274" s="378" t="str">
        <f>IF(VLOOKUP($C274,'REA-PPR'!$A$2:$E$149,5,FALSE)="","No",VLOOKUP($C274,'REA-PPR'!$A$2:$E$149,5,FALSE))</f>
        <v>No</v>
      </c>
    </row>
    <row r="275" spans="1:25" ht="15.75">
      <c r="C275" s="463" t="s">
        <v>718</v>
      </c>
      <c r="D275" s="125"/>
      <c r="E275" s="125"/>
      <c r="F275" s="117"/>
      <c r="G275" s="126"/>
      <c r="H275" s="122"/>
      <c r="I275" s="262"/>
      <c r="J275" s="529"/>
      <c r="K275" s="514"/>
      <c r="L275" s="491"/>
      <c r="M275" s="461"/>
      <c r="N275" s="491"/>
      <c r="O275" s="350"/>
      <c r="P275" s="519"/>
      <c r="Q275" s="477"/>
      <c r="R275" s="462"/>
      <c r="S275" s="349"/>
      <c r="T275" s="351"/>
      <c r="U275" s="378"/>
      <c r="V275" s="460"/>
    </row>
    <row r="276" spans="1:25">
      <c r="A276" s="129"/>
      <c r="B276" s="129"/>
      <c r="C276" s="364"/>
      <c r="D276" s="365"/>
      <c r="E276" s="365"/>
      <c r="F276" s="366"/>
      <c r="G276" s="367"/>
      <c r="H276" s="367"/>
      <c r="I276" s="365"/>
      <c r="J276" s="523"/>
      <c r="K276" s="481"/>
      <c r="L276" s="481"/>
      <c r="M276" s="372"/>
      <c r="N276" s="481"/>
      <c r="O276" s="29"/>
      <c r="P276" s="481"/>
      <c r="Q276" s="470"/>
      <c r="R276" s="368"/>
      <c r="U276" s="378"/>
      <c r="V276" s="89"/>
      <c r="Y276" s="15"/>
    </row>
    <row r="277" spans="1:25">
      <c r="J277" s="272" t="s">
        <v>18</v>
      </c>
      <c r="K277" s="465">
        <f>+SUM(K262:K276)</f>
        <v>13266170</v>
      </c>
      <c r="L277" s="498" t="s">
        <v>19</v>
      </c>
      <c r="M277" s="243"/>
      <c r="N277" s="465">
        <f>+SUM(N262:N276)</f>
        <v>5815170</v>
      </c>
      <c r="P277" s="465">
        <f>+SUM(P262:P276)</f>
        <v>1500000</v>
      </c>
      <c r="Q277" s="465">
        <f>+SUM(Q262:Q276)</f>
        <v>7315170</v>
      </c>
      <c r="U277" s="378"/>
      <c r="Y277" s="15"/>
    </row>
    <row r="278" spans="1:25" ht="12" customHeight="1">
      <c r="A278" s="27"/>
      <c r="B278" s="27"/>
      <c r="J278" s="524"/>
      <c r="L278" s="498" t="s">
        <v>20</v>
      </c>
      <c r="M278" s="243"/>
      <c r="N278" s="25">
        <f>1-SUM($N277:N277)/$K261</f>
        <v>6.2404156258023646E-2</v>
      </c>
      <c r="O278" s="25"/>
      <c r="P278" s="25">
        <f>1-SUM($N277:P277)/$K261</f>
        <v>-0.17944496691687317</v>
      </c>
      <c r="Q278" s="25">
        <f>1-SUM($Q277:Q277)/$K261</f>
        <v>-0.17944496691687317</v>
      </c>
      <c r="U278" s="378"/>
      <c r="Y278" s="15"/>
    </row>
    <row r="279" spans="1:25">
      <c r="J279" s="524"/>
      <c r="M279" s="243"/>
      <c r="U279" s="378"/>
      <c r="Y279" s="15"/>
    </row>
    <row r="280" spans="1:25" ht="15.75">
      <c r="C280" s="354" t="s">
        <v>53</v>
      </c>
      <c r="D280" s="31" t="s">
        <v>6</v>
      </c>
      <c r="J280" s="272" t="str">
        <f>+J261</f>
        <v>Available</v>
      </c>
      <c r="K280" s="465">
        <f>+CEILING!L52</f>
        <v>500000</v>
      </c>
      <c r="M280" s="243"/>
      <c r="U280" s="378"/>
      <c r="Y280" s="15"/>
    </row>
    <row r="281" spans="1:25">
      <c r="C281" s="361"/>
      <c r="D281" s="357"/>
      <c r="E281" s="357"/>
      <c r="F281" s="356"/>
      <c r="G281" s="362"/>
      <c r="H281" s="362"/>
      <c r="I281" s="357"/>
      <c r="J281" s="522"/>
      <c r="K281" s="471"/>
      <c r="L281" s="471"/>
      <c r="M281" s="370"/>
      <c r="N281" s="471"/>
      <c r="O281" s="357"/>
      <c r="P281" s="362"/>
      <c r="Q281" s="467"/>
      <c r="R281" s="363"/>
      <c r="U281" s="378"/>
      <c r="Y281" s="15"/>
    </row>
    <row r="282" spans="1:25" ht="12.75" customHeight="1">
      <c r="A282" s="24" t="e">
        <f>VLOOKUP($C281,#REF!,2,FALSE)</f>
        <v>#REF!</v>
      </c>
      <c r="B282" s="120" t="e">
        <f>VLOOKUP($C281,#REF!,6,FALSE)</f>
        <v>#REF!</v>
      </c>
      <c r="C282" s="382">
        <v>18347</v>
      </c>
      <c r="D282" s="386" t="str">
        <f>VLOOKUP($C282,'DB Link APP'!$A$2:$T$323,2,FALSE)</f>
        <v>Avenue Commons</v>
      </c>
      <c r="E282" s="386" t="str">
        <f>VLOOKUP($C282,'DB Link APP'!$A$2:$T$323,17,FALSE)</f>
        <v>Craig Alter</v>
      </c>
      <c r="F282" s="376" t="str">
        <f>VLOOKUP(C282,'DB Link APP'!$A$3:$U$140,8,FALSE)</f>
        <v>Rural</v>
      </c>
      <c r="G282" s="387"/>
      <c r="H282" s="380"/>
      <c r="I282" s="377" t="str">
        <f>IF(VLOOKUP($C282,'DB Link APP'!$A$2:$T$323,11,FALSE)=0,"",VLOOKUP($C282,'DB Link APP'!$A$2:$T$323,11,FALSE))</f>
        <v/>
      </c>
      <c r="J282" s="520" t="str">
        <f>IF(VLOOKUP($C282,'DB Link APP'!$A$2:$N$149,13,FALSE)="General","",VLOOKUP($C282,'DB Link APP'!$A$2:$N$149,13,FALSE))</f>
        <v/>
      </c>
      <c r="K282" s="506">
        <f>VLOOKUP($C282,'DB Link APP'!$A$2:$T$323,16,FALSE)</f>
        <v>750000</v>
      </c>
      <c r="L282" s="485">
        <f>IF(ISNA(VLOOKUP(C282,'UW Rec Amts'!$A$2:$D$141,4,FALSE)),"",VLOOKUP(C282,'UW Rec Amts'!$A$2:$D$141,4,FALSE))</f>
        <v>750000</v>
      </c>
      <c r="M282" s="385">
        <f>+SUM(L$282:L282)/K$280</f>
        <v>1.5</v>
      </c>
      <c r="N282" s="483">
        <f>+IF(M282&lt;=1,L282,0)</f>
        <v>0</v>
      </c>
      <c r="O282" s="480">
        <f>L282</f>
        <v>750000</v>
      </c>
      <c r="P282" s="480"/>
      <c r="Q282" s="468">
        <f>+SUM(N282:P282)</f>
        <v>750000</v>
      </c>
      <c r="R282" s="380" t="str">
        <f>+IF(N282&gt;0,"I",IF(O282&gt;0,"R",IF(P282&gt;0,"SW","")))</f>
        <v>R</v>
      </c>
      <c r="S282" s="267" t="str">
        <f>IF(VLOOKUP($C282,'REA-PPR'!$A$2:$E$149,3,FALSE)="","",VLOOKUP($C282,'REA-PPR'!$A$2:$E$149,3,FALSE))</f>
        <v/>
      </c>
      <c r="T282" s="15" t="str">
        <f>IF(VLOOKUP(C282,'UW Rec Amts'!A:H,2,FALSE),"C","")</f>
        <v>C</v>
      </c>
      <c r="U282" s="378" t="str">
        <f>IF(VLOOKUP($C282,'REA-PPR'!$A$2:$E$149,5,FALSE)="","No",VLOOKUP($C282,'REA-PPR'!$A$2:$E$149,5,FALSE))</f>
        <v>No</v>
      </c>
      <c r="Y282" s="15"/>
    </row>
    <row r="283" spans="1:25">
      <c r="C283" s="382">
        <v>18345</v>
      </c>
      <c r="D283" s="386" t="str">
        <f>VLOOKUP($C283,'DB Link APP'!$A$2:$T$323,2,FALSE)</f>
        <v>Westwind of Andrews</v>
      </c>
      <c r="E283" s="386" t="str">
        <f>VLOOKUP($C283,'DB Link APP'!$A$2:$T$323,17,FALSE)</f>
        <v>Kelly Garrett</v>
      </c>
      <c r="F283" s="376" t="str">
        <f>VLOOKUP(C283,'DB Link APP'!$A$3:$U$140,8,FALSE)</f>
        <v>Rural</v>
      </c>
      <c r="G283" s="387"/>
      <c r="H283" s="380"/>
      <c r="I283" s="377" t="str">
        <f>IF(VLOOKUP($C283,'DB Link APP'!$A$2:$T$323,11,FALSE)=0,"",VLOOKUP($C283,'DB Link APP'!$A$2:$T$323,11,FALSE))</f>
        <v/>
      </c>
      <c r="J283" s="520" t="str">
        <f>IF(VLOOKUP($C283,'DB Link APP'!$A$2:$N$149,13,FALSE)="General","",VLOOKUP($C283,'DB Link APP'!$A$2:$N$149,13,FALSE))</f>
        <v/>
      </c>
      <c r="K283" s="506">
        <f>VLOOKUP($C283,'DB Link APP'!$A$2:$T$323,16,FALSE)</f>
        <v>500000</v>
      </c>
      <c r="L283" s="485">
        <f>IF(ISNA(VLOOKUP(C283,'UW Rec Amts'!$A$2:$D$141,4,FALSE)),"",VLOOKUP(C283,'UW Rec Amts'!$A$2:$D$141,4,FALSE))</f>
        <v>500000</v>
      </c>
      <c r="M283" s="385">
        <f>+SUM(L$282:L283)/K$280</f>
        <v>2.5</v>
      </c>
      <c r="N283" s="483">
        <f t="shared" ref="N283:N284" si="47">+IF(M283&lt;=1,L283,0)</f>
        <v>0</v>
      </c>
      <c r="O283" s="480"/>
      <c r="P283" s="480"/>
      <c r="Q283" s="468">
        <f>+SUM(N283:P283)</f>
        <v>0</v>
      </c>
      <c r="R283" s="380" t="str">
        <f>+IF(N283&gt;0,"I",IF(O283&gt;0,"R",IF(P283&gt;0,"SW","")))</f>
        <v/>
      </c>
      <c r="S283" s="267" t="str">
        <f>IF(VLOOKUP($C283,'REA-PPR'!$A$2:$E$149,3,FALSE)="","",VLOOKUP($C283,'REA-PPR'!$A$2:$E$149,3,FALSE))</f>
        <v/>
      </c>
      <c r="T283" s="15" t="str">
        <f>IF(VLOOKUP(C283,'UW Rec Amts'!A:H,2,FALSE),"C","")</f>
        <v>C</v>
      </c>
      <c r="U283" s="378" t="str">
        <f>IF(VLOOKUP($C283,'REA-PPR'!$A$2:$E$149,5,FALSE)="","No",VLOOKUP($C283,'REA-PPR'!$A$2:$E$149,5,FALSE))</f>
        <v>No</v>
      </c>
      <c r="Y283" s="15"/>
    </row>
    <row r="284" spans="1:25" ht="12.75" customHeight="1">
      <c r="A284" s="24"/>
      <c r="B284" s="120"/>
      <c r="C284" s="407">
        <v>18224</v>
      </c>
      <c r="D284" s="386" t="str">
        <f>VLOOKUP($C284,'DB Link APP'!$A$2:$T$323,2,FALSE)</f>
        <v>Redwood Apartments</v>
      </c>
      <c r="E284" s="386" t="str">
        <f>VLOOKUP($C284,'DB Link APP'!$A$2:$T$323,17,FALSE)</f>
        <v>Justin Zimmerman</v>
      </c>
      <c r="F284" s="376" t="str">
        <f>VLOOKUP(C284,'DB Link APP'!$A$3:$U$140,8,FALSE)</f>
        <v>Rural</v>
      </c>
      <c r="G284" s="387"/>
      <c r="H284" s="380"/>
      <c r="I284" s="377" t="str">
        <f>IF(VLOOKUP($C284,'DB Link APP'!$A$2:$T$323,11,FALSE)=0,"",VLOOKUP($C284,'DB Link APP'!$A$2:$T$323,11,FALSE))</f>
        <v/>
      </c>
      <c r="J284" s="520" t="str">
        <f>IF(VLOOKUP($C284,'REA-PPR'!$A$2:$E$149,5,FALSE)="","No",VLOOKUP($C284,'REA-PPR'!$A$2:$E$149,5,FALSE))</f>
        <v>No</v>
      </c>
      <c r="K284" s="506">
        <f>VLOOKUP($C284,'DB Link APP'!$A$2:$T$323,16,FALSE)</f>
        <v>0</v>
      </c>
      <c r="L284" s="485">
        <f>IF(ISNA(VLOOKUP(C284,'UW Rec Amts'!$A$2:$D$141,4,FALSE)),"",VLOOKUP(C284,'UW Rec Amts'!$A$2:$D$141,4,FALSE))</f>
        <v>0</v>
      </c>
      <c r="M284" s="385"/>
      <c r="N284" s="483">
        <f t="shared" si="47"/>
        <v>0</v>
      </c>
      <c r="O284" s="480"/>
      <c r="P284" s="480"/>
      <c r="Q284" s="468">
        <f>+SUM(N284:P284)</f>
        <v>0</v>
      </c>
      <c r="R284" s="380" t="str">
        <f>+IF(N284&gt;0,"I",IF(O284&gt;0,"R",IF(P284&gt;0,"SW","")))</f>
        <v/>
      </c>
      <c r="S284" s="267" t="str">
        <f>IF(VLOOKUP($C284,'REA-PPR'!$A$2:$E$149,3,FALSE)="","",VLOOKUP($C284,'REA-PPR'!$A$2:$E$149,3,FALSE))</f>
        <v/>
      </c>
      <c r="T284" s="15" t="str">
        <f>IF(VLOOKUP(C284,'UW Rec Amts'!A:H,2,FALSE),"C","")</f>
        <v/>
      </c>
      <c r="U284" s="378" t="str">
        <f>IF(VLOOKUP($C284,'REA-PPR'!$A$2:$E$149,5,FALSE)="","No",VLOOKUP($C284,'REA-PPR'!$A$2:$E$149,5,FALSE))</f>
        <v>No</v>
      </c>
      <c r="V284" s="338"/>
      <c r="Y284" s="15"/>
    </row>
    <row r="285" spans="1:25">
      <c r="A285" s="24" t="e">
        <f>VLOOKUP($C283,#REF!,2,FALSE)</f>
        <v>#REF!</v>
      </c>
      <c r="B285" s="120" t="e">
        <f>VLOOKUP($C283,#REF!,6,FALSE)</f>
        <v>#REF!</v>
      </c>
      <c r="C285" s="364"/>
      <c r="D285" s="365"/>
      <c r="E285" s="365"/>
      <c r="F285" s="366"/>
      <c r="G285" s="367"/>
      <c r="H285" s="367"/>
      <c r="I285" s="365"/>
      <c r="J285" s="523"/>
      <c r="K285" s="481"/>
      <c r="L285" s="481"/>
      <c r="M285" s="372"/>
      <c r="N285" s="481"/>
      <c r="O285" s="481"/>
      <c r="P285" s="481"/>
      <c r="Q285" s="470"/>
      <c r="R285" s="368"/>
      <c r="U285" s="378"/>
      <c r="V285" s="89"/>
      <c r="Y285" s="15"/>
    </row>
    <row r="286" spans="1:25">
      <c r="A286" s="24"/>
      <c r="B286" s="120"/>
      <c r="J286" s="272" t="s">
        <v>18</v>
      </c>
      <c r="K286" s="465">
        <f>+SUM(K281:K285)</f>
        <v>1250000</v>
      </c>
      <c r="L286" s="498" t="s">
        <v>19</v>
      </c>
      <c r="M286" s="243"/>
      <c r="N286" s="465">
        <f>+SUM(N281:N285)</f>
        <v>0</v>
      </c>
      <c r="O286" s="465">
        <f>+SUM(O281:O285)</f>
        <v>750000</v>
      </c>
      <c r="P286" s="465">
        <f>+SUM(P281:P285)</f>
        <v>0</v>
      </c>
      <c r="Q286" s="465">
        <f>+SUM(Q281:Q285)</f>
        <v>750000</v>
      </c>
      <c r="U286" s="378"/>
      <c r="V286" s="89"/>
      <c r="Y286" s="15"/>
    </row>
    <row r="287" spans="1:25" ht="12" customHeight="1">
      <c r="A287" s="27"/>
      <c r="B287" s="27"/>
      <c r="J287" s="524"/>
      <c r="L287" s="498" t="s">
        <v>20</v>
      </c>
      <c r="M287" s="243"/>
      <c r="N287" s="25">
        <f>1-SUM($N286:N286)/$K280</f>
        <v>1</v>
      </c>
      <c r="O287" s="25">
        <f>1-SUM($N286:O286)/$K280</f>
        <v>-0.5</v>
      </c>
      <c r="P287" s="25">
        <f>1-SUM($N286:P286)/$K280</f>
        <v>-0.5</v>
      </c>
      <c r="Q287" s="25">
        <f>1-SUM($Q286:Q286)/$K280</f>
        <v>-0.5</v>
      </c>
      <c r="U287" s="378"/>
      <c r="Y287" s="15"/>
    </row>
    <row r="288" spans="1:25">
      <c r="J288" s="524"/>
      <c r="M288" s="243"/>
      <c r="U288" s="378"/>
      <c r="Y288" s="15"/>
    </row>
    <row r="289" spans="1:25" ht="15.75">
      <c r="C289" s="354" t="s">
        <v>53</v>
      </c>
      <c r="D289" s="31" t="s">
        <v>14</v>
      </c>
      <c r="J289" s="272" t="str">
        <f>+J280</f>
        <v>Available</v>
      </c>
      <c r="K289" s="465">
        <f>+CEILING!L38</f>
        <v>1820379.2413860974</v>
      </c>
      <c r="M289" s="243"/>
      <c r="U289" s="378"/>
      <c r="Y289" s="15"/>
    </row>
    <row r="290" spans="1:25">
      <c r="C290" s="361"/>
      <c r="D290" s="357"/>
      <c r="E290" s="357"/>
      <c r="F290" s="356"/>
      <c r="G290" s="362"/>
      <c r="H290" s="362"/>
      <c r="I290" s="357"/>
      <c r="J290" s="522"/>
      <c r="K290" s="471"/>
      <c r="L290" s="471"/>
      <c r="M290" s="370"/>
      <c r="N290" s="471"/>
      <c r="O290" s="357"/>
      <c r="P290" s="362"/>
      <c r="Q290" s="467"/>
      <c r="R290" s="363"/>
      <c r="U290" s="378"/>
      <c r="Y290" s="15"/>
    </row>
    <row r="291" spans="1:25" ht="12.75" customHeight="1">
      <c r="A291" s="24" t="e">
        <f>VLOOKUP($C290,#REF!,2,FALSE)</f>
        <v>#REF!</v>
      </c>
      <c r="B291" s="120" t="e">
        <f>VLOOKUP($C290,#REF!,6,FALSE)</f>
        <v>#REF!</v>
      </c>
      <c r="C291" s="389">
        <v>18222</v>
      </c>
      <c r="D291" s="386" t="str">
        <f>VLOOKUP($C291,'DB Link APP'!$A$2:$T$323,2,FALSE)</f>
        <v>Glenn Park Apartments</v>
      </c>
      <c r="E291" s="386" t="str">
        <f>VLOOKUP($C291,'DB Link APP'!$A$2:$T$323,17,FALSE)</f>
        <v>Vaughn Zimmerman</v>
      </c>
      <c r="F291" s="376" t="str">
        <f>VLOOKUP(C291,'DB Link APP'!$A$3:$U$140,8,FALSE)</f>
        <v>Urban</v>
      </c>
      <c r="G291" s="387"/>
      <c r="H291" s="380"/>
      <c r="I291" s="377" t="str">
        <f>IF(VLOOKUP($C291,'DB Link APP'!$A$2:$T$323,11,FALSE)=0,"",VLOOKUP($C291,'DB Link APP'!$A$2:$T$323,11,FALSE))</f>
        <v/>
      </c>
      <c r="J291" s="520" t="str">
        <f>IF(VLOOKUP($C291,'DB Link APP'!$A$2:$N$149,13,FALSE)="General","",VLOOKUP($C291,'DB Link APP'!$A$2:$N$149,13,FALSE))</f>
        <v/>
      </c>
      <c r="K291" s="506">
        <f>VLOOKUP($C291,'DB Link APP'!$A$2:$T$323,16,FALSE)</f>
        <v>778700</v>
      </c>
      <c r="L291" s="485">
        <f>IF(ISNA(VLOOKUP(C291,'UW Rec Amts'!$A$2:$D$141,4,FALSE)),"",VLOOKUP(C291,'UW Rec Amts'!$A$2:$D$141,4,FALSE))</f>
        <v>778700</v>
      </c>
      <c r="M291" s="385">
        <f>+SUM(L$291:L291)/K$289</f>
        <v>0.42776800696050121</v>
      </c>
      <c r="N291" s="483">
        <f>+IF(M291&lt;=1,L291,0)</f>
        <v>778700</v>
      </c>
      <c r="O291" s="388"/>
      <c r="P291" s="480"/>
      <c r="Q291" s="468">
        <f>+SUM(N291:P291)</f>
        <v>778700</v>
      </c>
      <c r="R291" s="380" t="str">
        <f>+IF(N291&gt;0,"I",IF(O291&gt;0,"R",IF(P291&gt;0,"SW","")))</f>
        <v>I</v>
      </c>
      <c r="S291" s="267" t="str">
        <f>IF(VLOOKUP($C291,'REA-PPR'!$A$2:$E$149,3,FALSE)="","",VLOOKUP($C291,'REA-PPR'!$A$2:$E$149,3,FALSE))</f>
        <v/>
      </c>
      <c r="T291" s="15" t="str">
        <f>IF(VLOOKUP(C291,'UW Rec Amts'!A:H,2,FALSE),"C","")</f>
        <v>C</v>
      </c>
      <c r="U291" s="378" t="str">
        <f>IF(VLOOKUP($C291,'REA-PPR'!$A$2:$E$149,5,FALSE)="","No",VLOOKUP($C291,'REA-PPR'!$A$2:$E$149,5,FALSE))</f>
        <v>No</v>
      </c>
      <c r="Y291" s="15"/>
    </row>
    <row r="292" spans="1:25" ht="12.75" customHeight="1">
      <c r="A292" s="129"/>
      <c r="B292" s="129"/>
      <c r="C292" s="389">
        <v>18710</v>
      </c>
      <c r="D292" s="386" t="str">
        <f>VLOOKUP($C292,'DB Link APP'!$A$2:$T$323,2,FALSE)</f>
        <v>Merritt Monument</v>
      </c>
      <c r="E292" s="386" t="str">
        <f>VLOOKUP($C292,'DB Link APP'!$A$2:$T$323,17,FALSE)</f>
        <v>Colby Denison</v>
      </c>
      <c r="F292" s="376" t="e">
        <f>VLOOKUP(C292,'DB Link APP'!$A$3:$U$142,8,FALSE)</f>
        <v>#N/A</v>
      </c>
      <c r="G292" s="387"/>
      <c r="H292" s="380"/>
      <c r="I292" s="377" t="str">
        <f>IF(VLOOKUP($C292,'DB Link APP'!$A$2:$T$323,11,FALSE)=0,"",VLOOKUP($C292,'DB Link APP'!$A$2:$T$323,11,FALSE))</f>
        <v>x</v>
      </c>
      <c r="J292" s="520" t="str">
        <f>IF(VLOOKUP($C292,'DB Link APP'!$A$2:$N$149,13,FALSE)="General","",VLOOKUP($C292,'DB Link APP'!$A$2:$N$149,13,FALSE))</f>
        <v/>
      </c>
      <c r="K292" s="506">
        <f>VLOOKUP($C292,'DB Link APP'!$A$2:$T$323,16,FALSE)</f>
        <v>853071</v>
      </c>
      <c r="L292" s="485">
        <f>IF(ISNA(VLOOKUP(C292,'UW Rec Amts'!$A$2:$D$141,4,FALSE)),"",VLOOKUP(C292,'UW Rec Amts'!$A$2:$D$141,4,FALSE))</f>
        <v>853071</v>
      </c>
      <c r="M292" s="385">
        <f>+SUM(L$291:L292)/K$289</f>
        <v>0.89639068766655194</v>
      </c>
      <c r="N292" s="483">
        <f>+IF(M292&lt;=1,L292,0)</f>
        <v>853071</v>
      </c>
      <c r="O292" s="388"/>
      <c r="P292" s="480"/>
      <c r="Q292" s="468">
        <f>+SUM(N292:P292)</f>
        <v>853071</v>
      </c>
      <c r="R292" s="380" t="str">
        <f>+IF(N292&gt;0,"I",IF(O292&gt;0,"R",IF(P292&gt;0,"SW","")))</f>
        <v>I</v>
      </c>
      <c r="S292" s="267"/>
      <c r="U292" s="378"/>
      <c r="V292" s="536"/>
      <c r="Y292" s="15"/>
    </row>
    <row r="293" spans="1:25" ht="12.75" customHeight="1">
      <c r="C293" s="407">
        <v>18109</v>
      </c>
      <c r="D293" s="386" t="str">
        <f>VLOOKUP($C293,'DB Link APP'!$A$2:$T$323,2,FALSE)</f>
        <v>The Trails at San Angelo</v>
      </c>
      <c r="E293" s="386" t="str">
        <f>VLOOKUP($C293,'DB Link APP'!$A$2:$T$323,17,FALSE)</f>
        <v>Adrian Iglesias</v>
      </c>
      <c r="F293" s="376" t="str">
        <f>VLOOKUP(C293,'DB Link APP'!$A$3:$U$140,8,FALSE)</f>
        <v>Urban</v>
      </c>
      <c r="G293" s="387"/>
      <c r="H293" s="380"/>
      <c r="I293" s="377" t="str">
        <f>IF(VLOOKUP($C293,'DB Link APP'!$A$2:$T$323,11,FALSE)=0,"",VLOOKUP($C293,'DB Link APP'!$A$2:$T$323,11,FALSE))</f>
        <v/>
      </c>
      <c r="J293" s="520" t="str">
        <f>IF(VLOOKUP($C293,'DB Link APP'!$A$2:$N$149,13,FALSE)="General","",VLOOKUP($C293,'DB Link APP'!$A$2:$N$149,13,FALSE))</f>
        <v/>
      </c>
      <c r="K293" s="506">
        <f>VLOOKUP($C293,'DB Link APP'!$A$2:$T$323,16,FALSE)</f>
        <v>0</v>
      </c>
      <c r="L293" s="485">
        <f>IF(ISNA(VLOOKUP(C293,'UW Rec Amts'!$A$2:$D$141,4,FALSE)),"",VLOOKUP(C293,'UW Rec Amts'!$A$2:$D$141,4,FALSE))</f>
        <v>0</v>
      </c>
      <c r="M293" s="385"/>
      <c r="N293" s="483">
        <f>+IF(M293&lt;=1,L293,0)</f>
        <v>0</v>
      </c>
      <c r="O293" s="388"/>
      <c r="P293" s="480"/>
      <c r="Q293" s="468">
        <f>+SUM(N293:P293)</f>
        <v>0</v>
      </c>
      <c r="R293" s="380" t="str">
        <f>+IF(N293&gt;0,"I",IF(O293&gt;0,"R",IF(P293&gt;0,"SW","")))</f>
        <v/>
      </c>
      <c r="S293" s="267" t="str">
        <f>IF(VLOOKUP($C293,'REA-PPR'!$A$2:$E$149,3,FALSE)="","",VLOOKUP($C293,'REA-PPR'!$A$2:$E$149,3,FALSE))</f>
        <v/>
      </c>
      <c r="T293" s="15" t="str">
        <f>IF(VLOOKUP(C293,'UW Rec Amts'!A:H,2,FALSE),"C","")</f>
        <v/>
      </c>
      <c r="U293" s="378" t="str">
        <f>IF(VLOOKUP($C293,'REA-PPR'!$A$2:$E$149,5,FALSE)="","No",VLOOKUP($C293,'REA-PPR'!$A$2:$E$149,5,FALSE))</f>
        <v>No</v>
      </c>
    </row>
    <row r="294" spans="1:25">
      <c r="A294" s="24"/>
      <c r="B294" s="120"/>
      <c r="C294" s="364"/>
      <c r="D294" s="365"/>
      <c r="E294" s="365"/>
      <c r="F294" s="366"/>
      <c r="G294" s="367"/>
      <c r="H294" s="367"/>
      <c r="I294" s="365"/>
      <c r="J294" s="523"/>
      <c r="K294" s="481"/>
      <c r="L294" s="481"/>
      <c r="M294" s="372"/>
      <c r="N294" s="481"/>
      <c r="O294" s="365"/>
      <c r="P294" s="481"/>
      <c r="Q294" s="470"/>
      <c r="R294" s="368"/>
      <c r="U294" s="378"/>
      <c r="V294" s="89"/>
    </row>
    <row r="295" spans="1:25" ht="15" customHeight="1">
      <c r="A295" s="24"/>
      <c r="B295" s="120"/>
      <c r="J295" s="272" t="s">
        <v>18</v>
      </c>
      <c r="K295" s="465">
        <f>+SUM(K290:K294)</f>
        <v>1631771</v>
      </c>
      <c r="L295" s="498" t="s">
        <v>19</v>
      </c>
      <c r="M295" s="243"/>
      <c r="N295" s="465">
        <f>+SUM(N291:N293)</f>
        <v>1631771</v>
      </c>
      <c r="P295" s="465">
        <f>+SUM(P290:P294)</f>
        <v>0</v>
      </c>
      <c r="Q295" s="465">
        <f>+SUM(Q290:Q294)</f>
        <v>1631771</v>
      </c>
      <c r="U295" s="378"/>
      <c r="V295" s="89"/>
    </row>
    <row r="296" spans="1:25" ht="15.75" customHeight="1">
      <c r="A296" s="27"/>
      <c r="B296" s="27"/>
      <c r="J296" s="524"/>
      <c r="L296" s="498" t="s">
        <v>20</v>
      </c>
      <c r="M296" s="243"/>
      <c r="N296" s="25">
        <f>1-SUM($N295:N295)/$K289</f>
        <v>0.10360931233344806</v>
      </c>
      <c r="O296" s="25"/>
      <c r="P296" s="25">
        <f>1-SUM($N295:P295)/$K289</f>
        <v>0.10360931233344806</v>
      </c>
      <c r="Q296" s="25">
        <f>1-SUM($Q295:Q295)/$K289</f>
        <v>0.10360931233344806</v>
      </c>
      <c r="U296" s="378"/>
      <c r="W296" s="26"/>
      <c r="X296" s="26"/>
    </row>
    <row r="297" spans="1:25">
      <c r="J297" s="524"/>
      <c r="M297" s="243"/>
      <c r="U297" s="378"/>
      <c r="V297" s="89"/>
      <c r="W297" s="21"/>
    </row>
    <row r="298" spans="1:25" ht="15.75">
      <c r="C298" s="354" t="s">
        <v>54</v>
      </c>
      <c r="D298" s="31" t="s">
        <v>6</v>
      </c>
      <c r="J298" s="272" t="str">
        <f>+J289</f>
        <v>Available</v>
      </c>
      <c r="K298" s="465">
        <f>+CEILING!L53</f>
        <v>500000</v>
      </c>
      <c r="M298" s="243"/>
      <c r="U298" s="378"/>
    </row>
    <row r="299" spans="1:25">
      <c r="C299" s="28"/>
      <c r="D299" s="29"/>
      <c r="E299" s="29"/>
      <c r="F299" s="88"/>
      <c r="G299" s="30"/>
      <c r="H299" s="30"/>
      <c r="I299" s="29"/>
      <c r="J299" s="528"/>
      <c r="K299" s="486"/>
      <c r="L299" s="486"/>
      <c r="M299" s="244"/>
      <c r="N299" s="486"/>
      <c r="O299" s="29"/>
      <c r="P299" s="30"/>
      <c r="Q299" s="474"/>
      <c r="R299" s="27"/>
      <c r="U299" s="378"/>
    </row>
    <row r="300" spans="1:25">
      <c r="C300" s="273">
        <v>18130</v>
      </c>
      <c r="D300" s="123" t="str">
        <f>VLOOKUP($C300,'DB Link APP'!$A$2:$T$323,2,FALSE)</f>
        <v>Skyway Gardens</v>
      </c>
      <c r="E300" s="123" t="str">
        <f>VLOOKUP($C300,'DB Link APP'!$A$2:$T$323,17,FALSE)</f>
        <v>Roy Lopez</v>
      </c>
      <c r="F300" s="117" t="str">
        <f>VLOOKUP(C300,'DB Link APP'!$A$3:$U$119,8,FALSE)</f>
        <v>Rural</v>
      </c>
      <c r="G300" s="124"/>
      <c r="H300" s="121"/>
      <c r="I300" s="262" t="str">
        <f>IF(VLOOKUP($C300,'DB Link APP'!$A$2:$T$323,11,FALSE)=0,"",VLOOKUP($C300,'DB Link APP'!$A$2:$T$323,11,FALSE))</f>
        <v/>
      </c>
      <c r="J300" s="520" t="str">
        <f>IF(VLOOKUP($C300,'DB Link APP'!$A$2:$N$149,13,FALSE)="General","",VLOOKUP($C300,'DB Link APP'!$A$2:$N$149,13,FALSE))</f>
        <v/>
      </c>
      <c r="K300" s="509">
        <f>VLOOKUP($C300,'DB Link APP'!$A$2:$T$323,16,FALSE)</f>
        <v>701300</v>
      </c>
      <c r="L300" s="500">
        <f>IF(ISNA(VLOOKUP(C300,'UW Rec Amts'!$A$2:$D$141,4,FALSE)),"",VLOOKUP(C300,'UW Rec Amts'!$A$2:$D$141,4,FALSE))</f>
        <v>701300</v>
      </c>
      <c r="M300" s="245">
        <f>+SUM(L$299:L300)/K$298</f>
        <v>1.4026000000000001</v>
      </c>
      <c r="N300" s="487">
        <f>+IF(M300&lt;=1,L300,0)</f>
        <v>0</v>
      </c>
      <c r="O300" s="516">
        <f>L300</f>
        <v>701300</v>
      </c>
      <c r="P300" s="516"/>
      <c r="Q300" s="475">
        <f>+SUM(N300:P300)</f>
        <v>701300</v>
      </c>
      <c r="R300" s="121" t="str">
        <f>+IF(N300&gt;0,"I",IF(O300&gt;0,"R",IF(P300&gt;0,"SW","")))</f>
        <v>R</v>
      </c>
      <c r="S300" s="267" t="str">
        <f>IF(VLOOKUP($C300,'REA-PPR'!$A$2:$E$149,3,FALSE)="","",VLOOKUP($C300,'REA-PPR'!$A$2:$E$149,3,FALSE))</f>
        <v/>
      </c>
      <c r="T300" s="15" t="str">
        <f>IF(VLOOKUP(C300,'UW Rec Amts'!A:H,2,FALSE),"C","")</f>
        <v>C</v>
      </c>
      <c r="U300" s="378" t="str">
        <f>IF(VLOOKUP($C300,'REA-PPR'!$A$2:$E$149,5,FALSE)="","No",VLOOKUP($C300,'REA-PPR'!$A$2:$E$149,5,FALSE))</f>
        <v>No</v>
      </c>
    </row>
    <row r="301" spans="1:25">
      <c r="A301" s="24" t="e">
        <f>VLOOKUP($C300,#REF!,2,FALSE)</f>
        <v>#REF!</v>
      </c>
      <c r="B301" s="120" t="e">
        <f>VLOOKUP($C300,#REF!,6,FALSE)</f>
        <v>#REF!</v>
      </c>
      <c r="C301" s="28"/>
      <c r="D301" s="29"/>
      <c r="E301" s="29"/>
      <c r="F301" s="88"/>
      <c r="G301" s="30"/>
      <c r="H301" s="30"/>
      <c r="I301" s="29"/>
      <c r="J301" s="528"/>
      <c r="K301" s="486"/>
      <c r="L301" s="486"/>
      <c r="M301" s="244"/>
      <c r="N301" s="486"/>
      <c r="O301" s="486"/>
      <c r="P301" s="486"/>
      <c r="Q301" s="474"/>
      <c r="R301" s="27"/>
      <c r="U301" s="378"/>
    </row>
    <row r="302" spans="1:25">
      <c r="A302" s="24"/>
      <c r="B302" s="120"/>
      <c r="J302" s="272" t="s">
        <v>18</v>
      </c>
      <c r="K302" s="465">
        <f>+SUM(K299:K301)</f>
        <v>701300</v>
      </c>
      <c r="L302" s="498" t="s">
        <v>19</v>
      </c>
      <c r="M302" s="243"/>
      <c r="N302" s="465">
        <f>+SUM(N299:N301)</f>
        <v>0</v>
      </c>
      <c r="O302" s="465">
        <f>+SUM(O299:O301)</f>
        <v>701300</v>
      </c>
      <c r="P302" s="465">
        <f>+SUM(P299:P301)</f>
        <v>0</v>
      </c>
      <c r="Q302" s="465">
        <f>+SUM(Q299:Q301)</f>
        <v>701300</v>
      </c>
      <c r="U302" s="378"/>
      <c r="V302" s="283"/>
    </row>
    <row r="303" spans="1:25" ht="12" customHeight="1">
      <c r="A303" s="27"/>
      <c r="B303" s="27"/>
      <c r="J303" s="524"/>
      <c r="L303" s="498" t="s">
        <v>20</v>
      </c>
      <c r="M303" s="243"/>
      <c r="N303" s="25">
        <f>1-SUM($N302:N302)/$K298</f>
        <v>1</v>
      </c>
      <c r="O303" s="25">
        <f>1-SUM($N302:O302)/$K298</f>
        <v>-0.40260000000000007</v>
      </c>
      <c r="P303" s="25">
        <f>1-SUM($N302:P302)/$K298</f>
        <v>-0.40260000000000007</v>
      </c>
      <c r="Q303" s="25">
        <f>1-SUM($Q302:Q302)/$K298</f>
        <v>-0.40260000000000007</v>
      </c>
      <c r="U303" s="378"/>
    </row>
    <row r="304" spans="1:25">
      <c r="J304" s="524"/>
      <c r="M304" s="243"/>
      <c r="U304" s="378"/>
    </row>
    <row r="305" spans="1:27" ht="15.75">
      <c r="C305" s="354" t="s">
        <v>54</v>
      </c>
      <c r="D305" s="31" t="s">
        <v>14</v>
      </c>
      <c r="J305" s="272" t="str">
        <f>+J298</f>
        <v>Available</v>
      </c>
      <c r="K305" s="465">
        <f>+CEILING!L39</f>
        <v>2683622.9191827634</v>
      </c>
      <c r="M305" s="243"/>
      <c r="U305" s="378"/>
    </row>
    <row r="306" spans="1:27">
      <c r="C306" s="361"/>
      <c r="D306" s="357"/>
      <c r="E306" s="357"/>
      <c r="F306" s="356"/>
      <c r="G306" s="362"/>
      <c r="H306" s="362"/>
      <c r="I306" s="357"/>
      <c r="J306" s="522"/>
      <c r="K306" s="471"/>
      <c r="L306" s="471"/>
      <c r="M306" s="370"/>
      <c r="N306" s="471"/>
      <c r="O306" s="29"/>
      <c r="P306" s="362"/>
      <c r="Q306" s="467"/>
      <c r="R306" s="363"/>
      <c r="U306" s="378"/>
    </row>
    <row r="307" spans="1:27" ht="12.75">
      <c r="C307" s="390">
        <v>18127</v>
      </c>
      <c r="D307" s="386" t="str">
        <f>VLOOKUP($C307,'DB Link APP'!$A$2:$T$323,2,FALSE)</f>
        <v>Metro 31 Senior Community</v>
      </c>
      <c r="E307" s="386" t="str">
        <f>VLOOKUP($C307,'DB Link APP'!$A$2:$T$323,17,FALSE)</f>
        <v>Roy Lopez</v>
      </c>
      <c r="F307" s="376" t="str">
        <f>VLOOKUP(C307,'DB Link APP'!$A$3:$U$140,8,FALSE)</f>
        <v>Urban</v>
      </c>
      <c r="G307" s="387"/>
      <c r="H307" s="380"/>
      <c r="I307" s="377" t="str">
        <f>IF(VLOOKUP($C307,'DB Link APP'!$A$2:$T$323,11,FALSE)=0,"",VLOOKUP($C307,'DB Link APP'!$A$2:$T$323,11,FALSE))</f>
        <v/>
      </c>
      <c r="J307" s="520" t="str">
        <f>IF(VLOOKUP($C307,'DB Link APP'!$A$2:$N$149,13,FALSE)="General","",VLOOKUP($C307,'DB Link APP'!$A$2:$N$149,13,FALSE))</f>
        <v>Elderly Limitation</v>
      </c>
      <c r="K307" s="507">
        <f>VLOOKUP($C307,'DB Link APP'!$A$2:$T$323,16,FALSE)</f>
        <v>1149600</v>
      </c>
      <c r="L307" s="485">
        <f>IF(ISNA(VLOOKUP(C307,'UW Rec Amts'!$A$2:$D$141,4,FALSE)),"",VLOOKUP(C307,'UW Rec Amts'!$A$2:$D$141,4,FALSE))</f>
        <v>1149600</v>
      </c>
      <c r="M307" s="385">
        <f>+SUM(L$306:L307)/K$305</f>
        <v>0.42837612981412626</v>
      </c>
      <c r="N307" s="483">
        <f>+IF(M307&lt;=1,L307,0)</f>
        <v>1149600</v>
      </c>
      <c r="O307" s="116"/>
      <c r="P307" s="480"/>
      <c r="Q307" s="468">
        <f>+SUM(N307:P307)</f>
        <v>1149600</v>
      </c>
      <c r="R307" s="380" t="str">
        <f>+IF(N307&gt;0,"I",IF(O307&gt;0,"R",IF(P307&gt;0,"SW","")))</f>
        <v>I</v>
      </c>
      <c r="S307" s="267" t="str">
        <f>IF(VLOOKUP($C307,'REA-PPR'!$A$2:$E$149,3,FALSE)="","",VLOOKUP($C307,'REA-PPR'!$A$2:$E$149,3,FALSE))</f>
        <v/>
      </c>
      <c r="T307" s="15" t="str">
        <f>IF(VLOOKUP(C307,'UW Rec Amts'!A:H,2,FALSE),"C","")</f>
        <v>C</v>
      </c>
      <c r="U307" s="378" t="str">
        <f>IF(VLOOKUP($C307,'REA-PPR'!$A$2:$E$149,5,FALSE)="","No",VLOOKUP($C307,'REA-PPR'!$A$2:$E$149,5,FALSE))</f>
        <v>No</v>
      </c>
    </row>
    <row r="308" spans="1:27" s="351" customFormat="1" ht="12.75" customHeight="1">
      <c r="A308" s="348"/>
      <c r="B308" s="355"/>
      <c r="C308" s="390">
        <v>18707</v>
      </c>
      <c r="D308" s="396" t="str">
        <f>VLOOKUP($C308,'DB Link APP'!$A$2:$T$323,2,FALSE)</f>
        <v>Nevarez Palms</v>
      </c>
      <c r="E308" s="396" t="str">
        <f>VLOOKUP($C308,'DB Link APP'!$A$2:$T$323,17,FALSE)</f>
        <v>R.L. "Bobby" Bowling, IV</v>
      </c>
      <c r="F308" s="405" t="str">
        <f>VLOOKUP(C308,'DB Link APP'!$A$3:$U$140,8,FALSE)</f>
        <v>Urban</v>
      </c>
      <c r="G308" s="397"/>
      <c r="H308" s="398"/>
      <c r="I308" s="399" t="str">
        <f>IF(VLOOKUP($C308,'DB Link APP'!$A$2:$T$323,11,FALSE)=0,"",VLOOKUP($C308,'DB Link APP'!$A$2:$T$323,11,FALSE))</f>
        <v/>
      </c>
      <c r="J308" s="520" t="str">
        <f>IF(VLOOKUP($C308,'DB Link APP'!$A$2:$N$149,13,FALSE)="General","",VLOOKUP($C308,'DB Link APP'!$A$2:$N$149,13,FALSE))</f>
        <v/>
      </c>
      <c r="K308" s="513">
        <f>VLOOKUP($C308,'DB Link APP'!$A$2:$T$323,16,FALSE)</f>
        <v>1163300</v>
      </c>
      <c r="L308" s="485">
        <f>IF(ISNA(VLOOKUP(C308,'UW Rec Amts'!$A$2:$D$141,4,FALSE)),"",VLOOKUP(C308,'UW Rec Amts'!$A$2:$D$141,4,FALSE))</f>
        <v>1163300</v>
      </c>
      <c r="M308" s="385">
        <f>+SUM(L$306:L308)/K$305</f>
        <v>0.8618572987535601</v>
      </c>
      <c r="N308" s="483">
        <f t="shared" ref="N308:N311" si="48">+IF(M308&lt;=1,L308,0)</f>
        <v>1163300</v>
      </c>
      <c r="O308" s="350"/>
      <c r="P308" s="517"/>
      <c r="Q308" s="476">
        <f>+SUM(N308:P308)</f>
        <v>1163300</v>
      </c>
      <c r="R308" s="398" t="str">
        <f>+IF(N308&gt;0,"I",IF(O308&gt;0,"R",IF(P308&gt;0,"SW","")))</f>
        <v>I</v>
      </c>
      <c r="S308" s="349" t="str">
        <f>IF(VLOOKUP($C308,'REA-PPR'!$A$2:$E$149,3,FALSE)="","",VLOOKUP($C308,'REA-PPR'!$A$2:$E$149,3,FALSE))</f>
        <v/>
      </c>
      <c r="T308" s="351" t="str">
        <f>IF(VLOOKUP(C308,'UW Rec Amts'!A:H,2,FALSE),"C","")</f>
        <v>C</v>
      </c>
      <c r="U308" s="378" t="str">
        <f>IF(VLOOKUP($C308,'REA-PPR'!$A$2:$E$149,5,FALSE)="","No",VLOOKUP($C308,'REA-PPR'!$A$2:$E$149,5,FALSE))</f>
        <v>No</v>
      </c>
      <c r="V308" s="352"/>
      <c r="Y308" s="353"/>
    </row>
    <row r="309" spans="1:27" s="351" customFormat="1" ht="12.75" customHeight="1">
      <c r="A309" s="348"/>
      <c r="B309" s="355"/>
      <c r="C309" s="390">
        <v>18012</v>
      </c>
      <c r="D309" s="396" t="str">
        <f>VLOOKUP($C309,'DB Link APP'!$A$2:$T$323,2,FALSE)</f>
        <v>Jamie O Perez Memorial Apartments</v>
      </c>
      <c r="E309" s="396" t="str">
        <f>VLOOKUP($C309,'DB Link APP'!$A$2:$T$323,17,FALSE)</f>
        <v>R.L. "Bobby" Bowling, IV</v>
      </c>
      <c r="F309" s="405" t="str">
        <f>VLOOKUP(C309,'DB Link APP'!$A$3:$U$140,8,FALSE)</f>
        <v>Urban</v>
      </c>
      <c r="G309" s="397"/>
      <c r="H309" s="398"/>
      <c r="I309" s="399" t="str">
        <f>IF(VLOOKUP($C309,'DB Link APP'!$A$2:$T$323,11,FALSE)=0,"",VLOOKUP($C309,'DB Link APP'!$A$2:$T$323,11,FALSE))</f>
        <v/>
      </c>
      <c r="J309" s="520" t="str">
        <f>IF(VLOOKUP($C309,'DB Link APP'!$A$2:$N$149,13,FALSE)="General","",VLOOKUP($C309,'DB Link APP'!$A$2:$N$149,13,FALSE))</f>
        <v/>
      </c>
      <c r="K309" s="513">
        <f>VLOOKUP($C309,'DB Link APP'!$A$2:$T$323,16,FALSE)</f>
        <v>1163300</v>
      </c>
      <c r="L309" s="485">
        <f>IF(ISNA(VLOOKUP(C309,'UW Rec Amts'!$A$2:$D$141,4,FALSE)),"",VLOOKUP(C309,'UW Rec Amts'!$A$2:$D$141,4,FALSE))</f>
        <v>1163300</v>
      </c>
      <c r="M309" s="385">
        <f>+SUM(L$306:L309)/K$305</f>
        <v>1.295338467692994</v>
      </c>
      <c r="N309" s="483">
        <f t="shared" si="48"/>
        <v>0</v>
      </c>
      <c r="O309" s="350"/>
      <c r="P309" s="517">
        <f>L309</f>
        <v>1163300</v>
      </c>
      <c r="Q309" s="476">
        <f>+SUM(N309:P309)</f>
        <v>1163300</v>
      </c>
      <c r="R309" s="398" t="str">
        <f>+IF(N309&gt;0,"I",IF(O309&gt;0,"R",IF(P309&gt;0,"SW","")))</f>
        <v>SW</v>
      </c>
      <c r="S309" s="349" t="str">
        <f>IF(VLOOKUP($C309,'REA-PPR'!$A$2:$E$149,3,FALSE)="","",VLOOKUP($C309,'REA-PPR'!$A$2:$E$149,3,FALSE))</f>
        <v/>
      </c>
      <c r="T309" s="351" t="str">
        <f>IF(VLOOKUP(C309,'UW Rec Amts'!A:H,2,FALSE),"C","")</f>
        <v>C</v>
      </c>
      <c r="U309" s="378" t="str">
        <f>IF(VLOOKUP($C309,'REA-PPR'!$A$2:$E$149,5,FALSE)="","No",VLOOKUP($C309,'REA-PPR'!$A$2:$E$149,5,FALSE))</f>
        <v>No</v>
      </c>
      <c r="V309" s="352"/>
      <c r="Y309" s="353"/>
    </row>
    <row r="310" spans="1:27" ht="12.75" customHeight="1">
      <c r="A310" s="24" t="e">
        <f>VLOOKUP($C306,#REF!,2,FALSE)</f>
        <v>#REF!</v>
      </c>
      <c r="B310" s="120" t="e">
        <f>VLOOKUP($C306,#REF!,6,FALSE)</f>
        <v>#REF!</v>
      </c>
      <c r="C310" s="390">
        <v>18129</v>
      </c>
      <c r="D310" s="386" t="str">
        <f>VLOOKUP($C310,'DB Link APP'!$A$2:$T$323,2,FALSE)</f>
        <v>Emerald Manor</v>
      </c>
      <c r="E310" s="386" t="str">
        <f>VLOOKUP($C310,'DB Link APP'!$A$2:$T$323,17,FALSE)</f>
        <v>Roy Lopez</v>
      </c>
      <c r="F310" s="376" t="str">
        <f>VLOOKUP(C310,'DB Link APP'!$A$3:$U$140,8,FALSE)</f>
        <v>Urban</v>
      </c>
      <c r="G310" s="387"/>
      <c r="H310" s="380"/>
      <c r="I310" s="377" t="str">
        <f>IF(VLOOKUP($C310,'DB Link APP'!$A$2:$T$323,11,FALSE)=0,"",VLOOKUP($C310,'DB Link APP'!$A$2:$T$323,11,FALSE))</f>
        <v/>
      </c>
      <c r="J310" s="520" t="str">
        <f>IF(VLOOKUP($C310,'DB Link APP'!$A$2:$N$149,13,FALSE)="General","",VLOOKUP($C310,'DB Link APP'!$A$2:$N$149,13,FALSE))</f>
        <v/>
      </c>
      <c r="K310" s="506">
        <f>VLOOKUP($C310,'DB Link APP'!$A$2:$T$323,16,FALSE)</f>
        <v>1258450</v>
      </c>
      <c r="L310" s="485">
        <f>IF(ISNA(VLOOKUP(C310,'UW Rec Amts'!$A$2:$D$141,4,FALSE)),"",VLOOKUP(C310,'UW Rec Amts'!$A$2:$D$141,4,FALSE))</f>
        <v>1258450</v>
      </c>
      <c r="M310" s="385">
        <f>+SUM(L$306:L310)/K$305</f>
        <v>1.7642754375647642</v>
      </c>
      <c r="N310" s="483">
        <f t="shared" si="48"/>
        <v>0</v>
      </c>
      <c r="O310" s="118"/>
      <c r="P310" s="480"/>
      <c r="Q310" s="468">
        <f>+SUM(N310:P310)</f>
        <v>0</v>
      </c>
      <c r="R310" s="380" t="str">
        <f>+IF(N310&gt;0,"I",IF(O310&gt;0,"R",IF(P310&gt;0,"SW","")))</f>
        <v/>
      </c>
      <c r="S310" s="267" t="str">
        <f>IF(VLOOKUP($C310,'REA-PPR'!$A$2:$E$149,3,FALSE)="","",VLOOKUP($C310,'REA-PPR'!$A$2:$E$149,3,FALSE))</f>
        <v/>
      </c>
      <c r="T310" s="15" t="str">
        <f>IF(VLOOKUP(C310,'UW Rec Amts'!A:H,2,FALSE),"C","")</f>
        <v>C</v>
      </c>
      <c r="U310" s="378" t="str">
        <f>IF(VLOOKUP($C310,'REA-PPR'!$A$2:$E$149,5,FALSE)="","No",VLOOKUP($C310,'REA-PPR'!$A$2:$E$149,5,FALSE))</f>
        <v>No</v>
      </c>
    </row>
    <row r="311" spans="1:27" ht="12.75">
      <c r="A311" s="24"/>
      <c r="B311" s="120"/>
      <c r="C311" s="390">
        <v>18010</v>
      </c>
      <c r="D311" s="386" t="str">
        <f>VLOOKUP($C311,'DB Link APP'!$A$2:$T$323,2,FALSE)</f>
        <v>Edgemere Palms</v>
      </c>
      <c r="E311" s="386" t="str">
        <f>VLOOKUP($C311,'DB Link APP'!$A$2:$T$323,17,FALSE)</f>
        <v>R.L. "Bobby" Bowling, IV</v>
      </c>
      <c r="F311" s="376" t="str">
        <f>VLOOKUP(C311,'DB Link APP'!$A$3:$U$140,8,FALSE)</f>
        <v>Urban</v>
      </c>
      <c r="G311" s="387"/>
      <c r="H311" s="380"/>
      <c r="I311" s="377" t="str">
        <f>IF(VLOOKUP($C311,'DB Link APP'!$A$2:$T$323,11,FALSE)=0,"",VLOOKUP($C311,'DB Link APP'!$A$2:$T$323,11,FALSE))</f>
        <v/>
      </c>
      <c r="J311" s="520" t="str">
        <f>IF(VLOOKUP($C311,'DB Link APP'!$A$2:$N$149,13,FALSE)="General","",VLOOKUP($C311,'DB Link APP'!$A$2:$N$149,13,FALSE))</f>
        <v/>
      </c>
      <c r="K311" s="506">
        <f>VLOOKUP($C311,'DB Link APP'!$A$2:$T$323,16,FALSE)</f>
        <v>1163300</v>
      </c>
      <c r="L311" s="485">
        <f>IF(ISNA(VLOOKUP(C311,'UW Rec Amts'!$A$2:$D$142,4,FALSE)),"",VLOOKUP(C311,'UW Rec Amts'!$A$2:$D$142,4,FALSE))</f>
        <v>1163300</v>
      </c>
      <c r="M311" s="385">
        <f>+SUM(L$306:L311)/K$305</f>
        <v>2.197756606504198</v>
      </c>
      <c r="N311" s="483">
        <f t="shared" si="48"/>
        <v>0</v>
      </c>
      <c r="O311" s="118"/>
      <c r="P311" s="480"/>
      <c r="Q311" s="468">
        <f>+SUM(N311:P311)</f>
        <v>0</v>
      </c>
      <c r="R311" s="380" t="str">
        <f>+IF(N311&gt;0,"I",IF(O311&gt;0,"R",IF(P311&gt;0,"SW","")))</f>
        <v/>
      </c>
      <c r="S311" s="267" t="str">
        <f>IF(VLOOKUP($C311,'REA-PPR'!$A$2:$E$149,3,FALSE)="","",VLOOKUP($C311,'REA-PPR'!$A$2:$E$149,3,FALSE))</f>
        <v/>
      </c>
      <c r="T311" s="15" t="str">
        <f>IF(VLOOKUP(C311,'UW Rec Amts'!A:H,2,FALSE),"C","")</f>
        <v>C</v>
      </c>
      <c r="U311" s="378" t="str">
        <f>IF(VLOOKUP($C311,'REA-PPR'!$A$2:$E$149,5,FALSE)="","No",VLOOKUP($C311,'REA-PPR'!$A$2:$E$149,5,FALSE))</f>
        <v>No</v>
      </c>
      <c r="V311" s="283"/>
      <c r="Z311" s="21"/>
    </row>
    <row r="312" spans="1:27">
      <c r="A312" s="24" t="e">
        <f>VLOOKUP($C310,#REF!,2,FALSE)</f>
        <v>#REF!</v>
      </c>
      <c r="B312" s="120" t="e">
        <f>VLOOKUP($C310,#REF!,6,FALSE)</f>
        <v>#REF!</v>
      </c>
      <c r="C312" s="364"/>
      <c r="D312" s="365"/>
      <c r="E312" s="365"/>
      <c r="F312" s="366"/>
      <c r="G312" s="367"/>
      <c r="H312" s="367"/>
      <c r="I312" s="365"/>
      <c r="J312" s="523"/>
      <c r="K312" s="481"/>
      <c r="L312" s="481"/>
      <c r="M312" s="372"/>
      <c r="N312" s="481"/>
      <c r="O312" s="29"/>
      <c r="P312" s="481"/>
      <c r="Q312" s="470"/>
      <c r="R312" s="368"/>
      <c r="V312" s="280"/>
    </row>
    <row r="313" spans="1:27">
      <c r="A313" s="24"/>
      <c r="B313" s="120"/>
      <c r="J313" s="23" t="s">
        <v>18</v>
      </c>
      <c r="K313" s="465">
        <f>+SUM(K306:K312)</f>
        <v>5897950</v>
      </c>
      <c r="L313" s="498" t="s">
        <v>19</v>
      </c>
      <c r="N313" s="465">
        <f>+SUM(N306:N312)</f>
        <v>2312900</v>
      </c>
      <c r="P313" s="465">
        <f>+SUM(P306:P312)</f>
        <v>1163300</v>
      </c>
      <c r="Q313" s="465">
        <f>+SUM(Q306:Q312)</f>
        <v>3476200</v>
      </c>
    </row>
    <row r="314" spans="1:27" ht="12" customHeight="1">
      <c r="A314" s="27"/>
      <c r="B314" s="27"/>
      <c r="L314" s="498" t="s">
        <v>20</v>
      </c>
      <c r="N314" s="25">
        <f>1-SUM($N313:N313)/$K305</f>
        <v>0.1381427012464399</v>
      </c>
      <c r="O314" s="25"/>
      <c r="P314" s="25">
        <f>1-SUM($N313:P313)/$K305</f>
        <v>-0.29533846769299399</v>
      </c>
      <c r="Q314" s="25">
        <f>1-SUM($Q313:Q313)/$K305</f>
        <v>-0.29533846769299399</v>
      </c>
    </row>
    <row r="315" spans="1:27">
      <c r="C315" s="122"/>
      <c r="D315" s="125"/>
      <c r="E315" s="125"/>
    </row>
    <row r="316" spans="1:27">
      <c r="C316" s="579"/>
      <c r="D316" s="579"/>
      <c r="E316" s="579"/>
      <c r="K316" s="465">
        <f>SUMIF(J12:J313,"Requested",K12:K313)</f>
        <v>130021416.71396428</v>
      </c>
      <c r="R316" s="23" t="s">
        <v>128</v>
      </c>
      <c r="S316" s="15">
        <f>COUNTIF(S16:S311,"C")</f>
        <v>0</v>
      </c>
      <c r="T316" s="15">
        <f>COUNTIF(T16:T311,"x")</f>
        <v>0</v>
      </c>
    </row>
    <row r="317" spans="1:27" ht="12.75" customHeight="1">
      <c r="R317" s="23" t="s">
        <v>127</v>
      </c>
      <c r="S317" s="15">
        <f>COUNTIF(S16:S311,"UR")</f>
        <v>0</v>
      </c>
      <c r="T317" s="15">
        <f>SUM(S316:S317)-T316</f>
        <v>0</v>
      </c>
      <c r="Z317" s="92"/>
      <c r="AA317" s="92"/>
    </row>
    <row r="318" spans="1:27" ht="27" customHeight="1">
      <c r="S318" s="15">
        <f>SUM(S316:S317)</f>
        <v>0</v>
      </c>
      <c r="T318" s="15">
        <f>SUM(T316:T317)</f>
        <v>0</v>
      </c>
    </row>
    <row r="330" spans="1:25">
      <c r="A330" s="15"/>
      <c r="B330" s="15"/>
      <c r="C330" s="15"/>
      <c r="F330" s="15"/>
      <c r="G330" s="15"/>
      <c r="H330" s="15"/>
      <c r="K330" s="464"/>
      <c r="L330" s="464"/>
      <c r="M330" s="15"/>
      <c r="R330" s="15"/>
      <c r="V330" s="15"/>
      <c r="Y330" s="15"/>
    </row>
  </sheetData>
  <mergeCells count="3">
    <mergeCell ref="C316:E316"/>
    <mergeCell ref="S11:T11"/>
    <mergeCell ref="S9:T9"/>
  </mergeCells>
  <conditionalFormatting sqref="L10:L22 L24:L314">
    <cfRule type="containsErrors" dxfId="6" priority="13" stopIfTrue="1">
      <formula>ISERROR(L10)</formula>
    </cfRule>
  </conditionalFormatting>
  <conditionalFormatting sqref="X7">
    <cfRule type="cellIs" dxfId="5" priority="5" operator="lessThan">
      <formula>0.15</formula>
    </cfRule>
    <cfRule type="cellIs" dxfId="4" priority="10" operator="lessThan">
      <formula>0.05</formula>
    </cfRule>
    <cfRule type="cellIs" dxfId="3" priority="12" operator="lessThan">
      <formula>0.05</formula>
    </cfRule>
  </conditionalFormatting>
  <conditionalFormatting sqref="X8">
    <cfRule type="cellIs" dxfId="2" priority="7" operator="lessThan">
      <formula>0.2</formula>
    </cfRule>
  </conditionalFormatting>
  <conditionalFormatting sqref="X9">
    <cfRule type="cellIs" dxfId="1" priority="6" operator="lessThan">
      <formula>0.1</formula>
    </cfRule>
  </conditionalFormatting>
  <conditionalFormatting sqref="X6">
    <cfRule type="cellIs" dxfId="0" priority="4" operator="lessThan">
      <formula>0.05</formula>
    </cfRule>
  </conditionalFormatting>
  <pageMargins left="0.2" right="0.2" top="0.5" bottom="0.5" header="0.3" footer="0.3"/>
  <pageSetup paperSize="5" scale="77" fitToHeight="25" orientation="landscape" r:id="rId1"/>
  <rowBreaks count="5" manualBreakCount="5">
    <brk id="52" min="2" max="23" man="1"/>
    <brk id="110" min="2" max="23" man="1"/>
    <brk id="163" min="2" max="23" man="1"/>
    <brk id="220" min="2" max="23" man="1"/>
    <brk id="274" min="2" max="23" man="1"/>
  </rowBreaks>
  <ignoredErrors>
    <ignoredError sqref="C23:C28 C31:C36 C40 C66:C71 C98:C102 C108:C112 C175:C179 C182:C187 C195:C200 C211:C214 C217:C222 C232:C237 C248:C253 C259:C262 C276:C281 C50:C52 C57:C62 C116:C121 C124:C129 C131:C136 C139:C144 C202:C207 C239:C243 C285:C290 C294:C299 C301:C306 C42:C45 C53" numberStoredAsText="1"/>
  </ignoredErrors>
  <drawing r:id="rId2"/>
</worksheet>
</file>

<file path=xl/worksheets/sheet3.xml><?xml version="1.0" encoding="utf-8"?>
<worksheet xmlns="http://schemas.openxmlformats.org/spreadsheetml/2006/main" xmlns:r="http://schemas.openxmlformats.org/officeDocument/2006/relationships">
  <sheetPr filterMode="1"/>
  <dimension ref="A1:DR154"/>
  <sheetViews>
    <sheetView workbookViewId="0">
      <pane ySplit="2" topLeftCell="A3" activePane="bottomLeft" state="frozen"/>
      <selection activeCell="B1" sqref="B1"/>
      <selection pane="bottomLeft" activeCell="J19" sqref="J19"/>
    </sheetView>
  </sheetViews>
  <sheetFormatPr defaultRowHeight="15" customHeight="1"/>
  <cols>
    <col min="1" max="1" width="8.140625" customWidth="1"/>
    <col min="2" max="2" width="11.42578125" customWidth="1"/>
    <col min="3" max="3" width="13.7109375" customWidth="1"/>
    <col min="4" max="4" width="11.85546875" customWidth="1"/>
    <col min="5" max="5" width="9.28515625" customWidth="1"/>
    <col min="6" max="6" width="12" customWidth="1"/>
    <col min="7" max="7" width="10" customWidth="1"/>
    <col min="8" max="8" width="15.140625" customWidth="1"/>
    <col min="9" max="9" width="7.7109375" customWidth="1"/>
    <col min="10" max="10" width="10" customWidth="1"/>
    <col min="11" max="11" width="9.85546875" customWidth="1"/>
    <col min="12" max="12" width="10.28515625" customWidth="1"/>
    <col min="13" max="13" width="10.140625" customWidth="1"/>
    <col min="14" max="14" width="8.7109375" customWidth="1"/>
    <col min="15" max="15" width="7.85546875" customWidth="1"/>
    <col min="16" max="16" width="14.42578125" customWidth="1"/>
    <col min="17" max="17" width="16.7109375" customWidth="1"/>
    <col min="18" max="18" width="13.42578125" customWidth="1"/>
    <col min="19" max="19" width="13.5703125" customWidth="1"/>
    <col min="20" max="20" width="13.7109375" customWidth="1"/>
    <col min="21" max="21" width="10.140625" style="254" customWidth="1"/>
    <col min="22" max="22" width="13.140625" customWidth="1"/>
    <col min="23" max="23" width="12.5703125" customWidth="1"/>
  </cols>
  <sheetData>
    <row r="1" spans="1:23" ht="15" customHeight="1">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row>
    <row r="2" spans="1:23" ht="15" customHeight="1">
      <c r="A2" s="174" t="s">
        <v>57</v>
      </c>
      <c r="B2" s="174" t="s">
        <v>83</v>
      </c>
      <c r="C2" s="174" t="s">
        <v>84</v>
      </c>
      <c r="D2" s="174" t="s">
        <v>85</v>
      </c>
      <c r="E2" s="174" t="s">
        <v>86</v>
      </c>
      <c r="F2" s="174" t="s">
        <v>87</v>
      </c>
      <c r="G2" s="174" t="s">
        <v>88</v>
      </c>
      <c r="H2" s="174" t="s">
        <v>89</v>
      </c>
      <c r="I2" s="174" t="s">
        <v>90</v>
      </c>
      <c r="J2" s="174" t="s">
        <v>91</v>
      </c>
      <c r="K2" s="174" t="s">
        <v>92</v>
      </c>
      <c r="L2" s="174" t="s">
        <v>59</v>
      </c>
      <c r="M2" s="174" t="s">
        <v>93</v>
      </c>
      <c r="N2" s="175" t="s">
        <v>94</v>
      </c>
      <c r="O2" s="174" t="s">
        <v>95</v>
      </c>
      <c r="P2" s="175" t="s">
        <v>96</v>
      </c>
      <c r="Q2" s="174" t="s">
        <v>97</v>
      </c>
      <c r="R2" s="174" t="s">
        <v>98</v>
      </c>
      <c r="S2" s="174" t="s">
        <v>99</v>
      </c>
      <c r="T2" s="176" t="s">
        <v>100</v>
      </c>
      <c r="U2" s="176" t="s">
        <v>117</v>
      </c>
      <c r="V2" s="327" t="s">
        <v>142</v>
      </c>
      <c r="W2" s="327" t="s">
        <v>143</v>
      </c>
    </row>
    <row r="3" spans="1:23" s="184" customFormat="1">
      <c r="A3" s="184">
        <v>18000</v>
      </c>
      <c r="B3" s="184" t="s">
        <v>158</v>
      </c>
      <c r="C3" s="184" t="s">
        <v>159</v>
      </c>
      <c r="D3" s="184" t="s">
        <v>160</v>
      </c>
      <c r="E3" s="184">
        <v>75042</v>
      </c>
      <c r="F3" s="184" t="s">
        <v>161</v>
      </c>
      <c r="G3" s="184">
        <v>3</v>
      </c>
      <c r="H3" s="184" t="s">
        <v>14</v>
      </c>
      <c r="J3" s="184" t="s">
        <v>162</v>
      </c>
      <c r="L3" s="184" t="s">
        <v>163</v>
      </c>
      <c r="M3" s="184" t="s">
        <v>164</v>
      </c>
      <c r="N3" s="184">
        <v>1500000</v>
      </c>
      <c r="P3" s="184">
        <v>1500000</v>
      </c>
      <c r="Q3" s="184" t="s">
        <v>165</v>
      </c>
      <c r="R3" s="184" t="s">
        <v>166</v>
      </c>
      <c r="S3" s="184">
        <v>118</v>
      </c>
      <c r="T3" s="184">
        <v>48113018900</v>
      </c>
    </row>
    <row r="4" spans="1:23" s="184" customFormat="1">
      <c r="A4" s="184">
        <v>18002</v>
      </c>
      <c r="B4" s="184" t="s">
        <v>167</v>
      </c>
      <c r="C4" s="184" t="s">
        <v>168</v>
      </c>
      <c r="D4" s="184" t="s">
        <v>160</v>
      </c>
      <c r="E4" s="184">
        <v>75040</v>
      </c>
      <c r="F4" s="184" t="s">
        <v>161</v>
      </c>
      <c r="G4" s="184">
        <v>3</v>
      </c>
      <c r="H4" s="184" t="s">
        <v>14</v>
      </c>
      <c r="J4" s="184" t="s">
        <v>162</v>
      </c>
      <c r="L4" s="184" t="s">
        <v>163</v>
      </c>
      <c r="M4" s="184" t="s">
        <v>164</v>
      </c>
      <c r="N4" s="184">
        <v>2000000</v>
      </c>
      <c r="P4" s="184">
        <v>1500000</v>
      </c>
      <c r="Q4" s="184" t="s">
        <v>165</v>
      </c>
      <c r="R4" s="184" t="s">
        <v>166</v>
      </c>
      <c r="S4" s="184">
        <v>122</v>
      </c>
      <c r="T4" s="184">
        <v>48113018121</v>
      </c>
    </row>
    <row r="5" spans="1:23" s="184" customFormat="1">
      <c r="A5" s="184">
        <v>18024</v>
      </c>
      <c r="B5" s="184" t="s">
        <v>169</v>
      </c>
      <c r="C5" s="184" t="s">
        <v>170</v>
      </c>
      <c r="D5" s="184" t="s">
        <v>171</v>
      </c>
      <c r="E5" s="184">
        <v>75009</v>
      </c>
      <c r="F5" s="184" t="s">
        <v>172</v>
      </c>
      <c r="G5" s="184">
        <v>3</v>
      </c>
      <c r="H5" s="184" t="s">
        <v>14</v>
      </c>
      <c r="L5" s="184" t="s">
        <v>163</v>
      </c>
      <c r="M5" s="184" t="s">
        <v>164</v>
      </c>
      <c r="P5" s="184">
        <v>1500000</v>
      </c>
      <c r="Q5" s="184" t="s">
        <v>173</v>
      </c>
      <c r="R5" s="184" t="s">
        <v>174</v>
      </c>
      <c r="S5" s="184">
        <v>120</v>
      </c>
      <c r="T5" s="184">
        <v>48085030305</v>
      </c>
    </row>
    <row r="6" spans="1:23" s="184" customFormat="1">
      <c r="A6" s="184">
        <v>18069</v>
      </c>
      <c r="B6" s="184" t="s">
        <v>175</v>
      </c>
      <c r="C6" s="184" t="s">
        <v>176</v>
      </c>
      <c r="D6" s="184" t="s">
        <v>177</v>
      </c>
      <c r="E6" s="184">
        <v>75442</v>
      </c>
      <c r="F6" s="184" t="s">
        <v>172</v>
      </c>
      <c r="G6" s="184">
        <v>3</v>
      </c>
      <c r="H6" s="184" t="s">
        <v>6</v>
      </c>
      <c r="L6" s="184" t="s">
        <v>163</v>
      </c>
      <c r="M6" s="184" t="s">
        <v>178</v>
      </c>
      <c r="P6" s="184">
        <v>833805</v>
      </c>
      <c r="Q6" s="184" t="s">
        <v>173</v>
      </c>
      <c r="R6" s="184" t="s">
        <v>174</v>
      </c>
      <c r="S6" s="184">
        <v>118</v>
      </c>
      <c r="T6" s="184">
        <v>48085031100</v>
      </c>
    </row>
    <row r="7" spans="1:23" s="184" customFormat="1">
      <c r="A7" s="184">
        <v>18087</v>
      </c>
      <c r="B7" s="184" t="s">
        <v>179</v>
      </c>
      <c r="C7" s="184" t="s">
        <v>180</v>
      </c>
      <c r="D7" s="184" t="s">
        <v>181</v>
      </c>
      <c r="E7" s="184">
        <v>75088</v>
      </c>
      <c r="F7" s="184" t="s">
        <v>161</v>
      </c>
      <c r="G7" s="184">
        <v>3</v>
      </c>
      <c r="H7" s="184" t="s">
        <v>14</v>
      </c>
      <c r="L7" s="184" t="s">
        <v>163</v>
      </c>
      <c r="M7" s="184" t="s">
        <v>178</v>
      </c>
      <c r="P7" s="184">
        <v>1500000</v>
      </c>
      <c r="Q7" s="184" t="s">
        <v>182</v>
      </c>
      <c r="R7" s="184" t="s">
        <v>183</v>
      </c>
      <c r="S7" s="184">
        <v>120</v>
      </c>
      <c r="T7" s="184">
        <v>48113018133</v>
      </c>
    </row>
    <row r="8" spans="1:23" s="184" customFormat="1">
      <c r="A8" s="184">
        <v>18091</v>
      </c>
      <c r="B8" s="184" t="s">
        <v>184</v>
      </c>
      <c r="C8" s="184" t="s">
        <v>185</v>
      </c>
      <c r="D8" s="184" t="s">
        <v>186</v>
      </c>
      <c r="E8" s="184">
        <v>75040</v>
      </c>
      <c r="F8" s="184" t="s">
        <v>161</v>
      </c>
      <c r="G8" s="184">
        <v>3</v>
      </c>
      <c r="H8" s="184" t="s">
        <v>14</v>
      </c>
      <c r="L8" s="184" t="s">
        <v>163</v>
      </c>
      <c r="M8" s="184" t="s">
        <v>164</v>
      </c>
      <c r="P8" s="184">
        <v>1500000</v>
      </c>
      <c r="Q8" s="184" t="s">
        <v>187</v>
      </c>
      <c r="R8" s="184" t="s">
        <v>188</v>
      </c>
      <c r="S8" s="184">
        <v>118</v>
      </c>
      <c r="T8" s="184">
        <v>48113018105</v>
      </c>
    </row>
    <row r="9" spans="1:23" s="184" customFormat="1">
      <c r="A9" s="184">
        <v>18096</v>
      </c>
      <c r="B9" s="184" t="s">
        <v>189</v>
      </c>
      <c r="C9" s="184" t="s">
        <v>190</v>
      </c>
      <c r="D9" s="184" t="s">
        <v>191</v>
      </c>
      <c r="E9" s="184">
        <v>75074</v>
      </c>
      <c r="F9" s="184" t="s">
        <v>172</v>
      </c>
      <c r="G9" s="184">
        <v>3</v>
      </c>
      <c r="H9" s="184" t="s">
        <v>14</v>
      </c>
      <c r="J9" s="184" t="s">
        <v>162</v>
      </c>
      <c r="L9" s="184" t="s">
        <v>163</v>
      </c>
      <c r="M9" s="184" t="s">
        <v>178</v>
      </c>
      <c r="P9" s="184">
        <v>1500000</v>
      </c>
      <c r="Q9" s="184" t="s">
        <v>192</v>
      </c>
      <c r="R9" s="184" t="s">
        <v>193</v>
      </c>
      <c r="S9" s="184">
        <v>115</v>
      </c>
      <c r="T9" s="184">
        <v>48085031900</v>
      </c>
    </row>
    <row r="10" spans="1:23" s="184" customFormat="1">
      <c r="A10" s="184">
        <v>18204</v>
      </c>
      <c r="B10" s="184" t="s">
        <v>194</v>
      </c>
      <c r="C10" s="184" t="s">
        <v>195</v>
      </c>
      <c r="D10" s="184" t="s">
        <v>161</v>
      </c>
      <c r="E10" s="184">
        <v>75249</v>
      </c>
      <c r="F10" s="184" t="s">
        <v>161</v>
      </c>
      <c r="G10" s="184">
        <v>3</v>
      </c>
      <c r="H10" s="184" t="s">
        <v>14</v>
      </c>
      <c r="L10" s="184" t="s">
        <v>163</v>
      </c>
      <c r="M10" s="184" t="s">
        <v>164</v>
      </c>
      <c r="P10" s="184">
        <v>1500000</v>
      </c>
      <c r="Q10" s="184" t="s">
        <v>196</v>
      </c>
      <c r="R10" s="184" t="s">
        <v>197</v>
      </c>
      <c r="S10" s="184">
        <v>122</v>
      </c>
      <c r="T10" s="184">
        <v>48113016510</v>
      </c>
    </row>
    <row r="11" spans="1:23" s="184" customFormat="1">
      <c r="A11" s="184">
        <v>18214</v>
      </c>
      <c r="B11" s="184" t="s">
        <v>198</v>
      </c>
      <c r="C11" s="184" t="s">
        <v>199</v>
      </c>
      <c r="D11" s="184" t="s">
        <v>200</v>
      </c>
      <c r="E11" s="184">
        <v>75052</v>
      </c>
      <c r="F11" s="184" t="s">
        <v>161</v>
      </c>
      <c r="G11" s="184">
        <v>3</v>
      </c>
      <c r="H11" s="184" t="s">
        <v>14</v>
      </c>
      <c r="L11" s="184" t="s">
        <v>163</v>
      </c>
      <c r="M11" s="184" t="s">
        <v>164</v>
      </c>
      <c r="P11" s="184">
        <v>1009000</v>
      </c>
      <c r="Q11" s="184" t="s">
        <v>201</v>
      </c>
      <c r="R11" s="184" t="s">
        <v>202</v>
      </c>
      <c r="S11" s="184">
        <v>122</v>
      </c>
      <c r="T11" s="184">
        <v>48113016412</v>
      </c>
    </row>
    <row r="12" spans="1:23" s="184" customFormat="1">
      <c r="A12" s="184">
        <v>18220</v>
      </c>
      <c r="B12" s="184" t="s">
        <v>203</v>
      </c>
      <c r="C12" s="184" t="s">
        <v>204</v>
      </c>
      <c r="D12" s="184" t="s">
        <v>205</v>
      </c>
      <c r="E12" s="184">
        <v>75165</v>
      </c>
      <c r="F12" s="184" t="s">
        <v>206</v>
      </c>
      <c r="G12" s="184">
        <v>3</v>
      </c>
      <c r="H12" s="184" t="s">
        <v>14</v>
      </c>
      <c r="L12" s="184" t="s">
        <v>163</v>
      </c>
      <c r="M12" s="184" t="s">
        <v>164</v>
      </c>
      <c r="P12" s="184">
        <v>1500000</v>
      </c>
      <c r="Q12" s="184" t="s">
        <v>201</v>
      </c>
      <c r="R12" s="184" t="s">
        <v>202</v>
      </c>
      <c r="S12" s="184">
        <v>120</v>
      </c>
      <c r="T12" s="184">
        <v>48139060300</v>
      </c>
    </row>
    <row r="13" spans="1:23" s="184" customFormat="1">
      <c r="A13" s="184">
        <v>18221</v>
      </c>
      <c r="B13" s="184" t="s">
        <v>207</v>
      </c>
      <c r="C13" s="184" t="s">
        <v>208</v>
      </c>
      <c r="D13" s="184" t="s">
        <v>209</v>
      </c>
      <c r="E13" s="184">
        <v>75407</v>
      </c>
      <c r="F13" s="184" t="s">
        <v>172</v>
      </c>
      <c r="G13" s="184">
        <v>3</v>
      </c>
      <c r="H13" s="184" t="s">
        <v>14</v>
      </c>
      <c r="L13" s="184" t="s">
        <v>163</v>
      </c>
      <c r="M13" s="184" t="s">
        <v>178</v>
      </c>
      <c r="P13" s="184">
        <v>1500000</v>
      </c>
      <c r="Q13" s="184" t="s">
        <v>210</v>
      </c>
      <c r="R13" s="184" t="s">
        <v>211</v>
      </c>
      <c r="S13" s="184">
        <v>119</v>
      </c>
      <c r="T13" s="184">
        <v>48085031004</v>
      </c>
    </row>
    <row r="14" spans="1:23" s="184" customFormat="1">
      <c r="A14" s="184">
        <v>18263</v>
      </c>
      <c r="B14" s="184" t="s">
        <v>212</v>
      </c>
      <c r="C14" s="184" t="s">
        <v>213</v>
      </c>
      <c r="D14" s="184" t="s">
        <v>214</v>
      </c>
      <c r="E14" s="184">
        <v>75071</v>
      </c>
      <c r="F14" s="184" t="s">
        <v>172</v>
      </c>
      <c r="G14" s="184">
        <v>3</v>
      </c>
      <c r="H14" s="184" t="s">
        <v>14</v>
      </c>
      <c r="L14" s="184" t="s">
        <v>163</v>
      </c>
      <c r="M14" s="184" t="s">
        <v>178</v>
      </c>
      <c r="P14" s="184">
        <v>0</v>
      </c>
      <c r="Q14" s="184" t="s">
        <v>215</v>
      </c>
      <c r="R14" s="184" t="s">
        <v>216</v>
      </c>
      <c r="S14" s="184">
        <v>120</v>
      </c>
      <c r="T14" s="184">
        <v>48085030305</v>
      </c>
    </row>
    <row r="15" spans="1:23" s="184" customFormat="1">
      <c r="A15" s="184">
        <v>18264</v>
      </c>
      <c r="B15" s="184" t="s">
        <v>217</v>
      </c>
      <c r="C15" s="184" t="s">
        <v>213</v>
      </c>
      <c r="D15" s="184" t="s">
        <v>214</v>
      </c>
      <c r="E15" s="184">
        <v>75071</v>
      </c>
      <c r="F15" s="184" t="s">
        <v>172</v>
      </c>
      <c r="G15" s="184">
        <v>3</v>
      </c>
      <c r="H15" s="184" t="s">
        <v>14</v>
      </c>
      <c r="L15" s="184" t="s">
        <v>163</v>
      </c>
      <c r="M15" s="184" t="s">
        <v>164</v>
      </c>
      <c r="P15" s="184">
        <v>0</v>
      </c>
      <c r="Q15" s="184" t="s">
        <v>215</v>
      </c>
      <c r="R15" s="184" t="s">
        <v>216</v>
      </c>
      <c r="S15" s="184">
        <v>120</v>
      </c>
      <c r="T15" s="184">
        <v>48085030305</v>
      </c>
    </row>
    <row r="16" spans="1:23" s="184" customFormat="1">
      <c r="A16" s="184">
        <v>18269</v>
      </c>
      <c r="B16" s="184" t="s">
        <v>218</v>
      </c>
      <c r="C16" s="184" t="s">
        <v>219</v>
      </c>
      <c r="D16" s="184" t="s">
        <v>161</v>
      </c>
      <c r="E16" s="184">
        <v>75201</v>
      </c>
      <c r="F16" s="184" t="s">
        <v>161</v>
      </c>
      <c r="G16" s="184">
        <v>3</v>
      </c>
      <c r="H16" s="184" t="s">
        <v>14</v>
      </c>
      <c r="L16" s="184" t="s">
        <v>163</v>
      </c>
      <c r="M16" s="184" t="s">
        <v>178</v>
      </c>
      <c r="P16" s="184">
        <v>1500000</v>
      </c>
      <c r="Q16" s="184" t="s">
        <v>220</v>
      </c>
      <c r="R16" s="184" t="s">
        <v>221</v>
      </c>
      <c r="S16" s="184">
        <v>125</v>
      </c>
      <c r="T16" s="184">
        <v>48113001701</v>
      </c>
    </row>
    <row r="17" spans="1:20" s="184" customFormat="1">
      <c r="A17" s="184">
        <v>18298</v>
      </c>
      <c r="B17" s="184" t="s">
        <v>222</v>
      </c>
      <c r="C17" s="184" t="s">
        <v>223</v>
      </c>
      <c r="D17" s="184" t="s">
        <v>224</v>
      </c>
      <c r="E17" s="184">
        <v>75098</v>
      </c>
      <c r="F17" s="184" t="s">
        <v>225</v>
      </c>
      <c r="G17" s="184">
        <v>3</v>
      </c>
      <c r="H17" s="184" t="s">
        <v>14</v>
      </c>
      <c r="L17" s="184" t="s">
        <v>163</v>
      </c>
      <c r="M17" s="184" t="s">
        <v>164</v>
      </c>
      <c r="P17" s="184">
        <v>1500000</v>
      </c>
      <c r="Q17" s="184" t="s">
        <v>226</v>
      </c>
      <c r="R17" s="184" t="s">
        <v>227</v>
      </c>
      <c r="S17" s="184">
        <v>120</v>
      </c>
      <c r="T17" s="184">
        <v>48397040102</v>
      </c>
    </row>
    <row r="18" spans="1:20" s="184" customFormat="1">
      <c r="A18" s="184">
        <v>18314</v>
      </c>
      <c r="B18" s="184" t="s">
        <v>228</v>
      </c>
      <c r="C18" s="184" t="s">
        <v>229</v>
      </c>
      <c r="D18" s="184" t="s">
        <v>230</v>
      </c>
      <c r="E18" s="184">
        <v>76308</v>
      </c>
      <c r="F18" s="184" t="s">
        <v>231</v>
      </c>
      <c r="G18" s="184">
        <v>2</v>
      </c>
      <c r="H18" s="184" t="s">
        <v>14</v>
      </c>
      <c r="L18" s="184" t="s">
        <v>163</v>
      </c>
      <c r="M18" s="184" t="s">
        <v>178</v>
      </c>
      <c r="P18" s="184">
        <v>687666</v>
      </c>
      <c r="Q18" s="184" t="s">
        <v>232</v>
      </c>
      <c r="R18" s="184" t="s">
        <v>233</v>
      </c>
      <c r="S18" s="184">
        <v>115</v>
      </c>
      <c r="T18" s="184">
        <v>48485012600</v>
      </c>
    </row>
    <row r="19" spans="1:20" s="184" customFormat="1">
      <c r="A19" s="184">
        <v>18361</v>
      </c>
      <c r="B19" s="184" t="s">
        <v>234</v>
      </c>
      <c r="C19" s="184" t="s">
        <v>235</v>
      </c>
      <c r="D19" s="184" t="s">
        <v>236</v>
      </c>
      <c r="E19" s="184">
        <v>75061</v>
      </c>
      <c r="F19" s="184" t="s">
        <v>161</v>
      </c>
      <c r="G19" s="184">
        <v>3</v>
      </c>
      <c r="H19" s="184" t="s">
        <v>14</v>
      </c>
      <c r="L19" s="184" t="s">
        <v>163</v>
      </c>
      <c r="M19" s="184" t="s">
        <v>164</v>
      </c>
      <c r="P19" s="184">
        <v>890850</v>
      </c>
      <c r="Q19" s="184" t="s">
        <v>237</v>
      </c>
      <c r="R19" s="184" t="s">
        <v>233</v>
      </c>
      <c r="S19" s="184">
        <v>125</v>
      </c>
      <c r="T19" s="184">
        <v>48113014501</v>
      </c>
    </row>
    <row r="20" spans="1:20" s="184" customFormat="1">
      <c r="A20" s="184">
        <v>18363</v>
      </c>
      <c r="B20" s="184" t="s">
        <v>238</v>
      </c>
      <c r="C20" s="184" t="s">
        <v>239</v>
      </c>
      <c r="D20" s="184" t="s">
        <v>236</v>
      </c>
      <c r="E20" s="184">
        <v>75060</v>
      </c>
      <c r="F20" s="184" t="s">
        <v>161</v>
      </c>
      <c r="G20" s="184">
        <v>3</v>
      </c>
      <c r="H20" s="184" t="s">
        <v>14</v>
      </c>
      <c r="L20" s="184" t="s">
        <v>163</v>
      </c>
      <c r="M20" s="184" t="s">
        <v>178</v>
      </c>
      <c r="P20" s="184">
        <v>0</v>
      </c>
      <c r="Q20" s="184" t="s">
        <v>237</v>
      </c>
      <c r="R20" s="184" t="s">
        <v>233</v>
      </c>
      <c r="S20" s="184">
        <v>127</v>
      </c>
      <c r="T20" s="184">
        <v>48113015305</v>
      </c>
    </row>
    <row r="21" spans="1:20" s="184" customFormat="1">
      <c r="A21" s="184">
        <v>18368</v>
      </c>
      <c r="B21" s="184" t="s">
        <v>240</v>
      </c>
      <c r="C21" s="184" t="s">
        <v>241</v>
      </c>
      <c r="D21" s="184" t="s">
        <v>186</v>
      </c>
      <c r="E21" s="184">
        <v>75041</v>
      </c>
      <c r="F21" s="184" t="s">
        <v>161</v>
      </c>
      <c r="G21" s="184">
        <v>3</v>
      </c>
      <c r="H21" s="184" t="s">
        <v>14</v>
      </c>
      <c r="L21" s="184" t="s">
        <v>163</v>
      </c>
      <c r="M21" s="184" t="s">
        <v>178</v>
      </c>
      <c r="P21" s="184">
        <v>1500000</v>
      </c>
      <c r="Q21" s="184" t="s">
        <v>232</v>
      </c>
      <c r="R21" s="184" t="s">
        <v>233</v>
      </c>
      <c r="S21" s="184">
        <v>122</v>
      </c>
      <c r="T21" s="184">
        <v>48113018110</v>
      </c>
    </row>
    <row r="22" spans="1:20" s="184" customFormat="1">
      <c r="A22" s="184">
        <v>18372</v>
      </c>
      <c r="B22" s="184" t="s">
        <v>242</v>
      </c>
      <c r="C22" s="184" t="s">
        <v>243</v>
      </c>
      <c r="D22" s="184" t="s">
        <v>244</v>
      </c>
      <c r="E22" s="184">
        <v>76367</v>
      </c>
      <c r="F22" s="184" t="s">
        <v>231</v>
      </c>
      <c r="G22" s="184">
        <v>2</v>
      </c>
      <c r="H22" s="184" t="s">
        <v>6</v>
      </c>
      <c r="L22" s="184" t="s">
        <v>163</v>
      </c>
      <c r="M22" s="184" t="s">
        <v>178</v>
      </c>
      <c r="P22" s="184">
        <v>500000</v>
      </c>
      <c r="Q22" s="184" t="s">
        <v>245</v>
      </c>
      <c r="R22" s="184" t="s">
        <v>246</v>
      </c>
      <c r="S22" s="184">
        <v>120</v>
      </c>
      <c r="T22" s="184">
        <v>48485013100</v>
      </c>
    </row>
    <row r="23" spans="1:20" s="184" customFormat="1">
      <c r="A23" s="184">
        <v>18373</v>
      </c>
      <c r="B23" s="184" t="s">
        <v>247</v>
      </c>
      <c r="C23" s="184" t="s">
        <v>248</v>
      </c>
      <c r="D23" s="184" t="s">
        <v>249</v>
      </c>
      <c r="E23" s="184">
        <v>76354</v>
      </c>
      <c r="F23" s="184" t="s">
        <v>231</v>
      </c>
      <c r="G23" s="184">
        <v>2</v>
      </c>
      <c r="H23" s="184" t="s">
        <v>6</v>
      </c>
      <c r="L23" s="184" t="s">
        <v>163</v>
      </c>
      <c r="M23" s="184" t="s">
        <v>164</v>
      </c>
      <c r="P23" s="184">
        <v>500000</v>
      </c>
      <c r="Q23" s="184" t="s">
        <v>245</v>
      </c>
      <c r="R23" s="184" t="s">
        <v>246</v>
      </c>
      <c r="S23" s="184">
        <v>119</v>
      </c>
      <c r="T23" s="184">
        <v>48485013501</v>
      </c>
    </row>
    <row r="24" spans="1:20" s="184" customFormat="1">
      <c r="A24" s="184">
        <v>18374</v>
      </c>
      <c r="B24" s="184" t="s">
        <v>250</v>
      </c>
      <c r="C24" s="184" t="s">
        <v>251</v>
      </c>
      <c r="D24" s="184" t="s">
        <v>230</v>
      </c>
      <c r="E24" s="184">
        <v>76309</v>
      </c>
      <c r="F24" s="184" t="s">
        <v>231</v>
      </c>
      <c r="G24" s="184">
        <v>2</v>
      </c>
      <c r="H24" s="184" t="s">
        <v>14</v>
      </c>
      <c r="L24" s="184" t="s">
        <v>163</v>
      </c>
      <c r="M24" s="184" t="s">
        <v>178</v>
      </c>
      <c r="P24" s="184">
        <v>500000</v>
      </c>
      <c r="Q24" s="184" t="s">
        <v>245</v>
      </c>
      <c r="R24" s="184" t="s">
        <v>246</v>
      </c>
      <c r="S24" s="184">
        <v>119</v>
      </c>
      <c r="T24" s="184">
        <v>48485012800</v>
      </c>
    </row>
    <row r="25" spans="1:20" s="184" customFormat="1">
      <c r="A25" s="184">
        <v>18376</v>
      </c>
      <c r="B25" s="184" t="s">
        <v>252</v>
      </c>
      <c r="C25" s="184" t="s">
        <v>253</v>
      </c>
      <c r="D25" s="184" t="s">
        <v>186</v>
      </c>
      <c r="E25" s="184">
        <v>75043</v>
      </c>
      <c r="F25" s="184" t="s">
        <v>161</v>
      </c>
      <c r="G25" s="184">
        <v>3</v>
      </c>
      <c r="H25" s="184" t="s">
        <v>14</v>
      </c>
      <c r="L25" s="184" t="s">
        <v>163</v>
      </c>
      <c r="M25" s="184" t="s">
        <v>178</v>
      </c>
      <c r="P25" s="184">
        <v>1500000</v>
      </c>
      <c r="Q25" s="184" t="s">
        <v>254</v>
      </c>
      <c r="R25" s="184" t="s">
        <v>233</v>
      </c>
      <c r="S25" s="184">
        <v>122</v>
      </c>
      <c r="T25" s="184">
        <v>48113018137</v>
      </c>
    </row>
    <row r="26" spans="1:20" s="184" customFormat="1">
      <c r="A26" s="184">
        <v>18388</v>
      </c>
      <c r="B26" s="184" t="s">
        <v>255</v>
      </c>
      <c r="C26" s="184" t="s">
        <v>256</v>
      </c>
      <c r="D26" s="184" t="s">
        <v>191</v>
      </c>
      <c r="E26" s="184">
        <v>75074</v>
      </c>
      <c r="F26" s="184" t="s">
        <v>172</v>
      </c>
      <c r="G26" s="184">
        <v>3</v>
      </c>
      <c r="H26" s="184" t="s">
        <v>14</v>
      </c>
      <c r="L26" s="184" t="s">
        <v>163</v>
      </c>
      <c r="M26" s="184" t="s">
        <v>164</v>
      </c>
      <c r="P26" s="184">
        <v>741387</v>
      </c>
      <c r="Q26" s="184" t="s">
        <v>257</v>
      </c>
      <c r="R26" s="184" t="s">
        <v>258</v>
      </c>
      <c r="S26" s="184">
        <v>115</v>
      </c>
      <c r="T26" s="184">
        <v>48085031900</v>
      </c>
    </row>
    <row r="27" spans="1:20" s="184" customFormat="1">
      <c r="A27" s="184">
        <v>18009</v>
      </c>
      <c r="B27" s="184" t="s">
        <v>259</v>
      </c>
      <c r="C27" s="184" t="s">
        <v>260</v>
      </c>
      <c r="D27" s="184" t="s">
        <v>261</v>
      </c>
      <c r="E27" s="184">
        <v>77471</v>
      </c>
      <c r="F27" s="184" t="s">
        <v>262</v>
      </c>
      <c r="G27" s="184">
        <v>6</v>
      </c>
      <c r="H27" s="184" t="s">
        <v>14</v>
      </c>
      <c r="L27" s="184" t="s">
        <v>163</v>
      </c>
      <c r="M27" s="184" t="s">
        <v>164</v>
      </c>
      <c r="P27" s="184">
        <v>1499877</v>
      </c>
      <c r="Q27" s="184" t="s">
        <v>263</v>
      </c>
      <c r="R27" s="184" t="s">
        <v>264</v>
      </c>
      <c r="S27" s="184">
        <v>120</v>
      </c>
      <c r="T27" s="184">
        <v>48157675200</v>
      </c>
    </row>
    <row r="28" spans="1:20" s="184" customFormat="1">
      <c r="A28" s="184">
        <v>18010</v>
      </c>
      <c r="B28" s="184" t="s">
        <v>265</v>
      </c>
      <c r="C28" s="184" t="s">
        <v>266</v>
      </c>
      <c r="D28" s="184" t="s">
        <v>157</v>
      </c>
      <c r="E28" s="184">
        <v>79938</v>
      </c>
      <c r="F28" s="184" t="s">
        <v>157</v>
      </c>
      <c r="G28" s="184">
        <v>13</v>
      </c>
      <c r="H28" s="184" t="s">
        <v>14</v>
      </c>
      <c r="L28" s="184" t="s">
        <v>163</v>
      </c>
      <c r="M28" s="184" t="s">
        <v>178</v>
      </c>
      <c r="P28" s="184">
        <v>1163300</v>
      </c>
      <c r="Q28" s="184" t="s">
        <v>267</v>
      </c>
      <c r="R28" s="184" t="s">
        <v>268</v>
      </c>
      <c r="S28" s="184">
        <v>86</v>
      </c>
      <c r="T28" s="184">
        <v>48141010331</v>
      </c>
    </row>
    <row r="29" spans="1:20" s="184" customFormat="1">
      <c r="A29" s="184">
        <v>18012</v>
      </c>
      <c r="B29" s="184" t="s">
        <v>269</v>
      </c>
      <c r="C29" s="184" t="s">
        <v>270</v>
      </c>
      <c r="D29" s="184" t="s">
        <v>271</v>
      </c>
      <c r="E29" s="184">
        <v>79927</v>
      </c>
      <c r="F29" s="184" t="s">
        <v>157</v>
      </c>
      <c r="G29" s="184">
        <v>13</v>
      </c>
      <c r="H29" s="184" t="s">
        <v>14</v>
      </c>
      <c r="L29" s="184" t="s">
        <v>163</v>
      </c>
      <c r="M29" s="184" t="s">
        <v>178</v>
      </c>
      <c r="P29" s="184">
        <v>1163300</v>
      </c>
      <c r="Q29" s="184" t="s">
        <v>267</v>
      </c>
      <c r="R29" s="184" t="s">
        <v>268</v>
      </c>
      <c r="S29" s="184">
        <v>94</v>
      </c>
      <c r="T29" s="184">
        <v>48141004002</v>
      </c>
    </row>
    <row r="30" spans="1:20" s="184" customFormat="1">
      <c r="A30" s="184">
        <v>18013</v>
      </c>
      <c r="B30" s="184" t="s">
        <v>272</v>
      </c>
      <c r="C30" s="184" t="s">
        <v>273</v>
      </c>
      <c r="D30" s="184" t="s">
        <v>274</v>
      </c>
      <c r="E30" s="184">
        <v>77535</v>
      </c>
      <c r="F30" s="184" t="s">
        <v>275</v>
      </c>
      <c r="G30" s="184">
        <v>6</v>
      </c>
      <c r="H30" s="184" t="s">
        <v>6</v>
      </c>
      <c r="K30" s="184" t="s">
        <v>162</v>
      </c>
      <c r="L30" s="184" t="s">
        <v>276</v>
      </c>
      <c r="M30" s="184" t="s">
        <v>164</v>
      </c>
      <c r="P30" s="184">
        <v>373500</v>
      </c>
      <c r="Q30" s="184" t="s">
        <v>277</v>
      </c>
      <c r="R30" s="184" t="s">
        <v>278</v>
      </c>
      <c r="S30" s="184">
        <v>116</v>
      </c>
      <c r="T30" s="184">
        <v>48291700800</v>
      </c>
    </row>
    <row r="31" spans="1:20" s="184" customFormat="1">
      <c r="A31" s="184">
        <v>18015</v>
      </c>
      <c r="B31" s="184" t="s">
        <v>279</v>
      </c>
      <c r="C31" s="184" t="s">
        <v>280</v>
      </c>
      <c r="D31" s="184" t="s">
        <v>281</v>
      </c>
      <c r="E31" s="184">
        <v>78741</v>
      </c>
      <c r="F31" s="184" t="s">
        <v>282</v>
      </c>
      <c r="G31" s="184">
        <v>7</v>
      </c>
      <c r="H31" s="184" t="s">
        <v>14</v>
      </c>
      <c r="L31" s="184" t="s">
        <v>163</v>
      </c>
      <c r="M31" s="184" t="s">
        <v>178</v>
      </c>
      <c r="P31" s="184">
        <v>1010620</v>
      </c>
      <c r="Q31" s="184" t="s">
        <v>283</v>
      </c>
      <c r="R31" s="184" t="s">
        <v>284</v>
      </c>
      <c r="S31" s="184">
        <v>117</v>
      </c>
      <c r="T31" s="184">
        <v>48453002318</v>
      </c>
    </row>
    <row r="32" spans="1:20" s="184" customFormat="1">
      <c r="A32" s="184">
        <v>18018</v>
      </c>
      <c r="B32" s="184" t="s">
        <v>285</v>
      </c>
      <c r="C32" s="184" t="s">
        <v>286</v>
      </c>
      <c r="D32" s="184" t="s">
        <v>287</v>
      </c>
      <c r="E32" s="184">
        <v>76105</v>
      </c>
      <c r="F32" s="184" t="s">
        <v>288</v>
      </c>
      <c r="G32" s="184">
        <v>3</v>
      </c>
      <c r="H32" s="184" t="s">
        <v>14</v>
      </c>
      <c r="L32" s="184" t="s">
        <v>163</v>
      </c>
      <c r="M32" s="184" t="s">
        <v>164</v>
      </c>
      <c r="P32" s="184">
        <v>1500000</v>
      </c>
      <c r="Q32" s="184" t="s">
        <v>289</v>
      </c>
      <c r="R32" s="184" t="s">
        <v>290</v>
      </c>
      <c r="S32" s="184">
        <v>105</v>
      </c>
      <c r="T32" s="184">
        <v>48439104604</v>
      </c>
    </row>
    <row r="33" spans="1:20" s="184" customFormat="1">
      <c r="A33" s="184">
        <v>18019</v>
      </c>
      <c r="B33" s="184" t="s">
        <v>291</v>
      </c>
      <c r="C33" s="184" t="s">
        <v>292</v>
      </c>
      <c r="D33" s="184" t="s">
        <v>293</v>
      </c>
      <c r="E33" s="184">
        <v>78163</v>
      </c>
      <c r="F33" s="184" t="s">
        <v>294</v>
      </c>
      <c r="G33" s="184">
        <v>9</v>
      </c>
      <c r="H33" s="184" t="s">
        <v>6</v>
      </c>
      <c r="L33" s="184" t="s">
        <v>163</v>
      </c>
      <c r="M33" s="184" t="s">
        <v>164</v>
      </c>
      <c r="P33" s="184">
        <v>500000</v>
      </c>
      <c r="Q33" s="184" t="s">
        <v>295</v>
      </c>
      <c r="R33" s="184" t="s">
        <v>296</v>
      </c>
      <c r="S33" s="184">
        <v>120</v>
      </c>
      <c r="T33" s="184">
        <v>48091310703</v>
      </c>
    </row>
    <row r="34" spans="1:20" s="184" customFormat="1">
      <c r="A34" s="184">
        <v>18020</v>
      </c>
      <c r="B34" s="184" t="s">
        <v>297</v>
      </c>
      <c r="C34" s="184" t="s">
        <v>298</v>
      </c>
      <c r="D34" s="184" t="s">
        <v>11</v>
      </c>
      <c r="E34" s="184">
        <v>77020</v>
      </c>
      <c r="F34" s="184" t="s">
        <v>299</v>
      </c>
      <c r="G34" s="184">
        <v>6</v>
      </c>
      <c r="H34" s="184" t="s">
        <v>14</v>
      </c>
      <c r="J34" s="184" t="s">
        <v>162</v>
      </c>
      <c r="L34" s="184" t="s">
        <v>163</v>
      </c>
      <c r="M34" s="184" t="s">
        <v>178</v>
      </c>
      <c r="P34" s="184">
        <v>0</v>
      </c>
      <c r="Q34" s="184" t="s">
        <v>300</v>
      </c>
      <c r="R34" s="184" t="s">
        <v>301</v>
      </c>
      <c r="S34" s="184">
        <v>121</v>
      </c>
      <c r="T34" s="184">
        <v>48201211300</v>
      </c>
    </row>
    <row r="35" spans="1:20" s="184" customFormat="1">
      <c r="A35" s="184">
        <v>18025</v>
      </c>
      <c r="B35" s="184" t="s">
        <v>302</v>
      </c>
      <c r="C35" s="184" t="s">
        <v>303</v>
      </c>
      <c r="D35" s="184" t="s">
        <v>304</v>
      </c>
      <c r="E35" s="184">
        <v>77044</v>
      </c>
      <c r="F35" s="184" t="s">
        <v>299</v>
      </c>
      <c r="G35" s="184">
        <v>6</v>
      </c>
      <c r="H35" s="184" t="s">
        <v>14</v>
      </c>
      <c r="L35" s="184" t="s">
        <v>163</v>
      </c>
      <c r="M35" s="184" t="s">
        <v>178</v>
      </c>
      <c r="P35" s="184">
        <v>0</v>
      </c>
      <c r="Q35" s="184" t="s">
        <v>305</v>
      </c>
      <c r="R35" s="184" t="s">
        <v>306</v>
      </c>
      <c r="S35" s="184">
        <v>113</v>
      </c>
      <c r="T35" s="184">
        <v>48201232301</v>
      </c>
    </row>
    <row r="36" spans="1:20" s="184" customFormat="1">
      <c r="A36" s="184">
        <v>18026</v>
      </c>
      <c r="B36" s="184" t="s">
        <v>307</v>
      </c>
      <c r="C36" s="184" t="s">
        <v>308</v>
      </c>
      <c r="D36" s="184" t="s">
        <v>309</v>
      </c>
      <c r="E36" s="184">
        <v>78644</v>
      </c>
      <c r="F36" s="184" t="s">
        <v>310</v>
      </c>
      <c r="G36" s="184">
        <v>7</v>
      </c>
      <c r="H36" s="184" t="s">
        <v>6</v>
      </c>
      <c r="L36" s="184" t="s">
        <v>163</v>
      </c>
      <c r="M36" s="184" t="s">
        <v>164</v>
      </c>
      <c r="P36" s="184">
        <v>500000</v>
      </c>
      <c r="Q36" s="184" t="s">
        <v>295</v>
      </c>
      <c r="R36" s="184" t="s">
        <v>296</v>
      </c>
      <c r="S36" s="184">
        <v>120</v>
      </c>
      <c r="T36" s="184">
        <v>48055960300</v>
      </c>
    </row>
    <row r="37" spans="1:20" s="184" customFormat="1">
      <c r="A37" s="184">
        <v>18033</v>
      </c>
      <c r="B37" s="184" t="s">
        <v>311</v>
      </c>
      <c r="C37" s="184" t="s">
        <v>312</v>
      </c>
      <c r="D37" s="184" t="s">
        <v>313</v>
      </c>
      <c r="E37" s="184">
        <v>77477</v>
      </c>
      <c r="F37" s="184" t="s">
        <v>262</v>
      </c>
      <c r="G37" s="184">
        <v>6</v>
      </c>
      <c r="H37" s="184" t="s">
        <v>14</v>
      </c>
      <c r="L37" s="184" t="s">
        <v>163</v>
      </c>
      <c r="M37" s="184" t="s">
        <v>178</v>
      </c>
      <c r="P37" s="184">
        <v>1286253</v>
      </c>
      <c r="Q37" s="184" t="s">
        <v>314</v>
      </c>
      <c r="R37" s="184" t="s">
        <v>315</v>
      </c>
      <c r="S37" s="184">
        <v>120</v>
      </c>
      <c r="T37" s="184">
        <v>48157671100</v>
      </c>
    </row>
    <row r="38" spans="1:20" s="184" customFormat="1">
      <c r="A38" s="184">
        <v>18036</v>
      </c>
      <c r="B38" s="184" t="s">
        <v>316</v>
      </c>
      <c r="C38" s="184" t="s">
        <v>317</v>
      </c>
      <c r="D38" s="184" t="s">
        <v>318</v>
      </c>
      <c r="E38" s="184">
        <v>79510</v>
      </c>
      <c r="F38" s="184" t="s">
        <v>319</v>
      </c>
      <c r="G38" s="184">
        <v>2</v>
      </c>
      <c r="H38" s="184" t="s">
        <v>6</v>
      </c>
      <c r="L38" s="184" t="s">
        <v>163</v>
      </c>
      <c r="M38" s="184" t="s">
        <v>178</v>
      </c>
      <c r="N38" s="184">
        <v>660000</v>
      </c>
      <c r="P38" s="184">
        <v>500000</v>
      </c>
      <c r="Q38" s="184" t="s">
        <v>320</v>
      </c>
      <c r="R38" s="184" t="s">
        <v>321</v>
      </c>
      <c r="S38" s="184">
        <v>120</v>
      </c>
      <c r="T38" s="184">
        <v>48059030102</v>
      </c>
    </row>
    <row r="39" spans="1:20" s="184" customFormat="1">
      <c r="A39" s="184">
        <v>18038</v>
      </c>
      <c r="B39" s="184" t="s">
        <v>322</v>
      </c>
      <c r="C39" s="184" t="s">
        <v>323</v>
      </c>
      <c r="D39" s="184" t="s">
        <v>7</v>
      </c>
      <c r="E39" s="184">
        <v>79401</v>
      </c>
      <c r="F39" s="184" t="s">
        <v>7</v>
      </c>
      <c r="G39" s="184">
        <v>1</v>
      </c>
      <c r="H39" s="184" t="s">
        <v>14</v>
      </c>
      <c r="L39" s="184" t="s">
        <v>163</v>
      </c>
      <c r="M39" s="184" t="s">
        <v>178</v>
      </c>
      <c r="P39" s="184">
        <v>950000</v>
      </c>
      <c r="Q39" s="184" t="s">
        <v>320</v>
      </c>
      <c r="R39" s="184" t="s">
        <v>321</v>
      </c>
      <c r="S39" s="184">
        <v>124</v>
      </c>
      <c r="T39" s="184">
        <v>48303000700</v>
      </c>
    </row>
    <row r="40" spans="1:20" s="184" customFormat="1">
      <c r="A40" s="184">
        <v>18039</v>
      </c>
      <c r="B40" s="184" t="s">
        <v>324</v>
      </c>
      <c r="C40" s="184" t="s">
        <v>325</v>
      </c>
      <c r="D40" s="184" t="s">
        <v>326</v>
      </c>
      <c r="E40" s="184">
        <v>78359</v>
      </c>
      <c r="F40" s="184" t="s">
        <v>327</v>
      </c>
      <c r="G40" s="184">
        <v>10</v>
      </c>
      <c r="H40" s="184" t="s">
        <v>6</v>
      </c>
      <c r="I40" s="184" t="s">
        <v>162</v>
      </c>
      <c r="L40" s="184" t="s">
        <v>276</v>
      </c>
      <c r="M40" s="184" t="s">
        <v>178</v>
      </c>
      <c r="P40" s="184">
        <v>700000</v>
      </c>
      <c r="Q40" s="184" t="s">
        <v>328</v>
      </c>
      <c r="R40" s="184" t="s">
        <v>329</v>
      </c>
      <c r="S40" s="184">
        <v>109</v>
      </c>
      <c r="T40" s="184">
        <v>48409010500</v>
      </c>
    </row>
    <row r="41" spans="1:20" s="184" customFormat="1">
      <c r="A41" s="184">
        <v>18040</v>
      </c>
      <c r="B41" s="184" t="s">
        <v>330</v>
      </c>
      <c r="C41" s="184" t="s">
        <v>331</v>
      </c>
      <c r="D41" s="184" t="s">
        <v>332</v>
      </c>
      <c r="E41" s="184">
        <v>79364</v>
      </c>
      <c r="F41" s="184" t="s">
        <v>7</v>
      </c>
      <c r="G41" s="184">
        <v>1</v>
      </c>
      <c r="H41" s="184" t="s">
        <v>6</v>
      </c>
      <c r="L41" s="184" t="s">
        <v>163</v>
      </c>
      <c r="M41" s="184" t="s">
        <v>178</v>
      </c>
      <c r="N41" s="184">
        <v>660000</v>
      </c>
      <c r="P41" s="184">
        <v>642500</v>
      </c>
      <c r="Q41" s="184" t="s">
        <v>320</v>
      </c>
      <c r="R41" s="184" t="s">
        <v>321</v>
      </c>
      <c r="S41" s="184">
        <v>120</v>
      </c>
      <c r="T41" s="184">
        <v>48303010700</v>
      </c>
    </row>
    <row r="42" spans="1:20" s="184" customFormat="1">
      <c r="A42" s="184">
        <v>18043</v>
      </c>
      <c r="B42" s="184" t="s">
        <v>333</v>
      </c>
      <c r="C42" s="184" t="s">
        <v>312</v>
      </c>
      <c r="D42" s="184" t="s">
        <v>313</v>
      </c>
      <c r="E42" s="184">
        <v>77477</v>
      </c>
      <c r="F42" s="184" t="s">
        <v>262</v>
      </c>
      <c r="G42" s="184">
        <v>6</v>
      </c>
      <c r="H42" s="184" t="s">
        <v>14</v>
      </c>
      <c r="L42" s="184" t="s">
        <v>163</v>
      </c>
      <c r="M42" s="184" t="s">
        <v>164</v>
      </c>
      <c r="P42" s="184">
        <v>1500000</v>
      </c>
      <c r="Q42" s="184" t="s">
        <v>334</v>
      </c>
      <c r="R42" s="184" t="s">
        <v>335</v>
      </c>
      <c r="S42" s="184">
        <v>120</v>
      </c>
      <c r="T42" s="184">
        <v>48157671100</v>
      </c>
    </row>
    <row r="43" spans="1:20" s="184" customFormat="1">
      <c r="A43" s="184">
        <v>18047</v>
      </c>
      <c r="B43" s="184" t="s">
        <v>336</v>
      </c>
      <c r="C43" s="184" t="s">
        <v>312</v>
      </c>
      <c r="D43" s="184" t="s">
        <v>313</v>
      </c>
      <c r="E43" s="184">
        <v>77477</v>
      </c>
      <c r="F43" s="184" t="s">
        <v>262</v>
      </c>
      <c r="G43" s="184">
        <v>6</v>
      </c>
      <c r="H43" s="184" t="s">
        <v>14</v>
      </c>
      <c r="L43" s="184" t="s">
        <v>163</v>
      </c>
      <c r="M43" s="184" t="s">
        <v>178</v>
      </c>
      <c r="P43" s="184">
        <v>1500000</v>
      </c>
      <c r="Q43" s="184" t="s">
        <v>314</v>
      </c>
      <c r="R43" s="184" t="s">
        <v>315</v>
      </c>
      <c r="S43" s="184">
        <v>120</v>
      </c>
      <c r="T43" s="184">
        <v>48157671100</v>
      </c>
    </row>
    <row r="44" spans="1:20" s="184" customFormat="1">
      <c r="A44" s="184">
        <v>18052</v>
      </c>
      <c r="B44" s="184" t="s">
        <v>337</v>
      </c>
      <c r="C44" s="184" t="s">
        <v>338</v>
      </c>
      <c r="D44" s="184" t="s">
        <v>154</v>
      </c>
      <c r="E44" s="184">
        <v>78218</v>
      </c>
      <c r="F44" s="184" t="s">
        <v>339</v>
      </c>
      <c r="G44" s="184">
        <v>9</v>
      </c>
      <c r="H44" s="184" t="s">
        <v>14</v>
      </c>
      <c r="L44" s="184" t="s">
        <v>163</v>
      </c>
      <c r="M44" s="184" t="s">
        <v>164</v>
      </c>
      <c r="N44" s="184">
        <v>2025000</v>
      </c>
      <c r="P44" s="184">
        <v>1467404</v>
      </c>
      <c r="Q44" s="184" t="s">
        <v>340</v>
      </c>
      <c r="R44" s="184" t="s">
        <v>341</v>
      </c>
      <c r="S44" s="184">
        <v>121</v>
      </c>
      <c r="T44" s="184">
        <v>48029121809</v>
      </c>
    </row>
    <row r="45" spans="1:20" s="184" customFormat="1">
      <c r="A45" s="184">
        <v>18053</v>
      </c>
      <c r="B45" s="184" t="s">
        <v>342</v>
      </c>
      <c r="C45" s="184" t="s">
        <v>343</v>
      </c>
      <c r="D45" s="184" t="s">
        <v>154</v>
      </c>
      <c r="E45" s="184">
        <v>78207</v>
      </c>
      <c r="F45" s="184" t="s">
        <v>339</v>
      </c>
      <c r="G45" s="184">
        <v>9</v>
      </c>
      <c r="H45" s="184" t="s">
        <v>14</v>
      </c>
      <c r="J45" s="184" t="s">
        <v>162</v>
      </c>
      <c r="L45" s="184" t="s">
        <v>163</v>
      </c>
      <c r="M45" s="184" t="s">
        <v>178</v>
      </c>
      <c r="N45" s="184">
        <v>1300000</v>
      </c>
      <c r="P45" s="184">
        <v>0</v>
      </c>
      <c r="Q45" s="184" t="s">
        <v>340</v>
      </c>
      <c r="R45" s="184" t="s">
        <v>344</v>
      </c>
      <c r="S45" s="184">
        <v>118</v>
      </c>
      <c r="T45" s="184">
        <v>48029110500</v>
      </c>
    </row>
    <row r="46" spans="1:20" s="184" customFormat="1">
      <c r="A46" s="184">
        <v>18054</v>
      </c>
      <c r="B46" s="184" t="s">
        <v>345</v>
      </c>
      <c r="C46" s="184" t="s">
        <v>346</v>
      </c>
      <c r="D46" s="184" t="s">
        <v>154</v>
      </c>
      <c r="E46" s="184">
        <v>78210</v>
      </c>
      <c r="F46" s="184" t="s">
        <v>339</v>
      </c>
      <c r="G46" s="184">
        <v>9</v>
      </c>
      <c r="H46" s="184" t="s">
        <v>14</v>
      </c>
      <c r="J46" s="184" t="s">
        <v>162</v>
      </c>
      <c r="L46" s="184" t="s">
        <v>163</v>
      </c>
      <c r="M46" s="184" t="s">
        <v>178</v>
      </c>
      <c r="N46" s="184">
        <v>2350000</v>
      </c>
      <c r="P46" s="184">
        <v>1500000</v>
      </c>
      <c r="Q46" s="184" t="s">
        <v>340</v>
      </c>
      <c r="R46" s="184" t="s">
        <v>341</v>
      </c>
      <c r="S46" s="184">
        <v>120</v>
      </c>
      <c r="T46" s="184">
        <v>48029140400</v>
      </c>
    </row>
    <row r="47" spans="1:20" s="184" customFormat="1">
      <c r="A47" s="184">
        <v>18057</v>
      </c>
      <c r="B47" s="184" t="s">
        <v>347</v>
      </c>
      <c r="C47" s="184" t="s">
        <v>348</v>
      </c>
      <c r="D47" s="184" t="s">
        <v>349</v>
      </c>
      <c r="E47" s="184">
        <v>76049</v>
      </c>
      <c r="F47" s="184" t="s">
        <v>350</v>
      </c>
      <c r="G47" s="184">
        <v>3</v>
      </c>
      <c r="H47" s="184" t="s">
        <v>6</v>
      </c>
      <c r="J47" s="184" t="s">
        <v>162</v>
      </c>
      <c r="L47" s="184" t="s">
        <v>163</v>
      </c>
      <c r="M47" s="184" t="s">
        <v>164</v>
      </c>
      <c r="P47" s="184">
        <v>772000</v>
      </c>
      <c r="Q47" s="184" t="s">
        <v>351</v>
      </c>
      <c r="R47" s="184" t="s">
        <v>352</v>
      </c>
      <c r="S47" s="184">
        <v>119</v>
      </c>
      <c r="T47" s="184">
        <v>48221160209</v>
      </c>
    </row>
    <row r="48" spans="1:20" s="184" customFormat="1">
      <c r="A48" s="184">
        <v>18058</v>
      </c>
      <c r="B48" s="184" t="s">
        <v>695</v>
      </c>
      <c r="C48" s="184" t="s">
        <v>353</v>
      </c>
      <c r="D48" s="184" t="s">
        <v>354</v>
      </c>
      <c r="E48" s="184">
        <v>77845</v>
      </c>
      <c r="F48" s="184" t="s">
        <v>355</v>
      </c>
      <c r="G48" s="184">
        <v>8</v>
      </c>
      <c r="H48" s="184" t="s">
        <v>14</v>
      </c>
      <c r="L48" s="184" t="s">
        <v>163</v>
      </c>
      <c r="M48" s="184" t="s">
        <v>164</v>
      </c>
      <c r="P48" s="184">
        <v>1500000</v>
      </c>
      <c r="Q48" s="184" t="s">
        <v>356</v>
      </c>
      <c r="R48" s="184" t="s">
        <v>357</v>
      </c>
      <c r="S48" s="184">
        <v>106</v>
      </c>
      <c r="T48" s="184">
        <v>48041002009</v>
      </c>
    </row>
    <row r="49" spans="1:20" s="184" customFormat="1">
      <c r="A49" s="184">
        <v>18064</v>
      </c>
      <c r="B49" s="184" t="s">
        <v>358</v>
      </c>
      <c r="C49" s="184" t="s">
        <v>359</v>
      </c>
      <c r="D49" s="184" t="s">
        <v>287</v>
      </c>
      <c r="E49" s="184">
        <v>76111</v>
      </c>
      <c r="F49" s="184" t="s">
        <v>288</v>
      </c>
      <c r="G49" s="184">
        <v>3</v>
      </c>
      <c r="H49" s="184" t="s">
        <v>14</v>
      </c>
      <c r="L49" s="184" t="s">
        <v>163</v>
      </c>
      <c r="M49" s="184" t="s">
        <v>178</v>
      </c>
      <c r="P49" s="184">
        <v>1500000</v>
      </c>
      <c r="Q49" s="184" t="s">
        <v>173</v>
      </c>
      <c r="R49" s="184" t="s">
        <v>174</v>
      </c>
      <c r="S49" s="184">
        <v>108</v>
      </c>
      <c r="T49" s="184">
        <v>48439101201</v>
      </c>
    </row>
    <row r="50" spans="1:20" s="184" customFormat="1">
      <c r="A50" s="184">
        <v>18067</v>
      </c>
      <c r="B50" s="184" t="s">
        <v>361</v>
      </c>
      <c r="C50" s="184" t="s">
        <v>362</v>
      </c>
      <c r="D50" s="184" t="s">
        <v>363</v>
      </c>
      <c r="E50" s="184">
        <v>76036</v>
      </c>
      <c r="F50" s="184" t="s">
        <v>288</v>
      </c>
      <c r="G50" s="184">
        <v>3</v>
      </c>
      <c r="H50" s="184" t="s">
        <v>14</v>
      </c>
      <c r="L50" s="184" t="s">
        <v>163</v>
      </c>
      <c r="M50" s="184" t="s">
        <v>178</v>
      </c>
      <c r="P50" s="184">
        <v>1500000</v>
      </c>
      <c r="Q50" s="184" t="s">
        <v>173</v>
      </c>
      <c r="R50" s="184" t="s">
        <v>174</v>
      </c>
      <c r="S50" s="184">
        <v>110</v>
      </c>
      <c r="T50" s="184">
        <v>48439111008</v>
      </c>
    </row>
    <row r="51" spans="1:20" s="184" customFormat="1">
      <c r="A51" s="184">
        <v>18068</v>
      </c>
      <c r="B51" s="184" t="s">
        <v>364</v>
      </c>
      <c r="C51" s="184" t="s">
        <v>365</v>
      </c>
      <c r="D51" s="184" t="s">
        <v>366</v>
      </c>
      <c r="E51" s="184">
        <v>76210</v>
      </c>
      <c r="F51" s="184" t="s">
        <v>366</v>
      </c>
      <c r="G51" s="184">
        <v>3</v>
      </c>
      <c r="H51" s="184" t="s">
        <v>14</v>
      </c>
      <c r="L51" s="184" t="s">
        <v>163</v>
      </c>
      <c r="M51" s="184" t="s">
        <v>178</v>
      </c>
      <c r="P51" s="184">
        <v>1500000</v>
      </c>
      <c r="Q51" s="184" t="s">
        <v>173</v>
      </c>
      <c r="R51" s="184" t="s">
        <v>174</v>
      </c>
      <c r="S51" s="184">
        <v>110</v>
      </c>
      <c r="T51" s="184">
        <v>48121021406</v>
      </c>
    </row>
    <row r="52" spans="1:20" s="184" customFormat="1">
      <c r="A52" s="184">
        <v>18077</v>
      </c>
      <c r="B52" s="184" t="s">
        <v>367</v>
      </c>
      <c r="C52" s="184" t="s">
        <v>368</v>
      </c>
      <c r="D52" s="184" t="s">
        <v>275</v>
      </c>
      <c r="E52" s="184">
        <v>77575</v>
      </c>
      <c r="F52" s="184" t="s">
        <v>275</v>
      </c>
      <c r="G52" s="184">
        <v>6</v>
      </c>
      <c r="H52" s="184" t="s">
        <v>6</v>
      </c>
      <c r="K52" s="184" t="s">
        <v>162</v>
      </c>
      <c r="L52" s="184" t="s">
        <v>276</v>
      </c>
      <c r="M52" s="184" t="s">
        <v>178</v>
      </c>
      <c r="P52" s="184">
        <v>458634.6</v>
      </c>
      <c r="Q52" s="184" t="s">
        <v>369</v>
      </c>
      <c r="R52" s="184" t="s">
        <v>370</v>
      </c>
      <c r="S52" s="184">
        <v>110</v>
      </c>
      <c r="T52" s="184">
        <v>48291701200</v>
      </c>
    </row>
    <row r="53" spans="1:20" s="184" customFormat="1">
      <c r="A53" s="184">
        <v>18081</v>
      </c>
      <c r="B53" s="184" t="s">
        <v>371</v>
      </c>
      <c r="C53" s="184" t="s">
        <v>372</v>
      </c>
      <c r="D53" s="184" t="s">
        <v>281</v>
      </c>
      <c r="E53" s="184">
        <v>78702</v>
      </c>
      <c r="F53" s="184" t="s">
        <v>282</v>
      </c>
      <c r="G53" s="184">
        <v>7</v>
      </c>
      <c r="H53" s="184" t="s">
        <v>14</v>
      </c>
      <c r="J53" s="184" t="s">
        <v>162</v>
      </c>
      <c r="L53" s="184" t="s">
        <v>163</v>
      </c>
      <c r="M53" s="184" t="s">
        <v>178</v>
      </c>
      <c r="P53" s="184">
        <v>1500000</v>
      </c>
      <c r="Q53" s="184" t="s">
        <v>373</v>
      </c>
      <c r="R53" s="184" t="s">
        <v>374</v>
      </c>
      <c r="S53" s="184">
        <v>115</v>
      </c>
      <c r="T53" s="184">
        <v>48453000902</v>
      </c>
    </row>
    <row r="54" spans="1:20" s="184" customFormat="1">
      <c r="A54" s="184">
        <v>18084</v>
      </c>
      <c r="B54" s="184" t="s">
        <v>375</v>
      </c>
      <c r="C54" s="184" t="s">
        <v>376</v>
      </c>
      <c r="D54" s="184" t="s">
        <v>154</v>
      </c>
      <c r="E54" s="184">
        <v>78207</v>
      </c>
      <c r="F54" s="184" t="s">
        <v>377</v>
      </c>
      <c r="G54" s="184">
        <v>9</v>
      </c>
      <c r="H54" s="184" t="s">
        <v>14</v>
      </c>
      <c r="J54" s="184" t="s">
        <v>162</v>
      </c>
      <c r="L54" s="184" t="s">
        <v>163</v>
      </c>
      <c r="M54" s="184" t="s">
        <v>178</v>
      </c>
      <c r="P54" s="184">
        <v>1500000</v>
      </c>
      <c r="Q54" s="184" t="s">
        <v>378</v>
      </c>
      <c r="R54" s="184" t="s">
        <v>233</v>
      </c>
      <c r="S54" s="184">
        <v>120</v>
      </c>
      <c r="T54" s="184">
        <v>48029170401</v>
      </c>
    </row>
    <row r="55" spans="1:20" s="344" customFormat="1">
      <c r="A55" s="344">
        <v>18086</v>
      </c>
      <c r="B55" s="344" t="s">
        <v>379</v>
      </c>
      <c r="C55" s="344" t="s">
        <v>380</v>
      </c>
      <c r="D55" s="344" t="s">
        <v>154</v>
      </c>
      <c r="E55" s="344">
        <v>78260</v>
      </c>
      <c r="F55" s="344" t="s">
        <v>339</v>
      </c>
      <c r="G55" s="344">
        <v>9</v>
      </c>
      <c r="H55" s="344" t="s">
        <v>14</v>
      </c>
      <c r="J55" s="344" t="s">
        <v>162</v>
      </c>
      <c r="L55" s="344" t="s">
        <v>163</v>
      </c>
      <c r="M55" s="344" t="s">
        <v>164</v>
      </c>
      <c r="P55" s="551">
        <v>1490824</v>
      </c>
      <c r="Q55" s="344" t="s">
        <v>381</v>
      </c>
      <c r="R55" s="344" t="s">
        <v>378</v>
      </c>
      <c r="S55" s="344">
        <v>122</v>
      </c>
      <c r="T55" s="344">
        <v>48029191810</v>
      </c>
    </row>
    <row r="56" spans="1:20" s="344" customFormat="1">
      <c r="A56" s="344">
        <v>18093</v>
      </c>
      <c r="B56" s="344" t="s">
        <v>382</v>
      </c>
      <c r="C56" s="344" t="s">
        <v>383</v>
      </c>
      <c r="D56" s="344" t="s">
        <v>11</v>
      </c>
      <c r="E56" s="344">
        <v>77067</v>
      </c>
      <c r="F56" s="344" t="s">
        <v>299</v>
      </c>
      <c r="G56" s="344">
        <v>6</v>
      </c>
      <c r="H56" s="344" t="s">
        <v>14</v>
      </c>
      <c r="L56" s="344" t="s">
        <v>163</v>
      </c>
      <c r="M56" s="344" t="s">
        <v>178</v>
      </c>
      <c r="P56" s="344">
        <v>1500000</v>
      </c>
      <c r="Q56" s="344" t="s">
        <v>187</v>
      </c>
      <c r="R56" s="344" t="s">
        <v>188</v>
      </c>
      <c r="S56" s="344">
        <v>120</v>
      </c>
      <c r="T56" s="344">
        <v>48201550500</v>
      </c>
    </row>
    <row r="57" spans="1:20" s="344" customFormat="1">
      <c r="A57" s="344">
        <v>18095</v>
      </c>
      <c r="B57" s="344" t="s">
        <v>384</v>
      </c>
      <c r="C57" s="344" t="s">
        <v>385</v>
      </c>
      <c r="D57" s="344" t="s">
        <v>10</v>
      </c>
      <c r="E57" s="344">
        <v>77707</v>
      </c>
      <c r="F57" s="344" t="s">
        <v>386</v>
      </c>
      <c r="G57" s="344">
        <v>5</v>
      </c>
      <c r="H57" s="344" t="s">
        <v>14</v>
      </c>
      <c r="L57" s="344" t="s">
        <v>163</v>
      </c>
      <c r="M57" s="344" t="s">
        <v>164</v>
      </c>
      <c r="P57" s="344">
        <v>1067319</v>
      </c>
      <c r="Q57" s="344" t="s">
        <v>387</v>
      </c>
      <c r="R57" s="344" t="s">
        <v>388</v>
      </c>
      <c r="S57" s="344">
        <v>114</v>
      </c>
      <c r="T57" s="344">
        <v>48245001302</v>
      </c>
    </row>
    <row r="58" spans="1:20" s="344" customFormat="1">
      <c r="A58" s="344">
        <v>18099</v>
      </c>
      <c r="B58" s="344" t="s">
        <v>389</v>
      </c>
      <c r="C58" s="344" t="s">
        <v>390</v>
      </c>
      <c r="D58" s="344" t="s">
        <v>281</v>
      </c>
      <c r="E58" s="344">
        <v>78759</v>
      </c>
      <c r="F58" s="344" t="s">
        <v>282</v>
      </c>
      <c r="G58" s="344">
        <v>7</v>
      </c>
      <c r="H58" s="344" t="s">
        <v>14</v>
      </c>
      <c r="J58" s="344" t="s">
        <v>162</v>
      </c>
      <c r="L58" s="344" t="s">
        <v>163</v>
      </c>
      <c r="M58" s="344" t="s">
        <v>360</v>
      </c>
      <c r="P58" s="344">
        <v>1500000</v>
      </c>
      <c r="Q58" s="344" t="s">
        <v>391</v>
      </c>
      <c r="R58" s="344" t="s">
        <v>392</v>
      </c>
      <c r="S58" s="344">
        <v>125</v>
      </c>
      <c r="T58" s="344">
        <v>48453001829</v>
      </c>
    </row>
    <row r="59" spans="1:20" s="344" customFormat="1">
      <c r="A59" s="344">
        <v>18103</v>
      </c>
      <c r="B59" s="344" t="s">
        <v>393</v>
      </c>
      <c r="C59" s="344" t="s">
        <v>394</v>
      </c>
      <c r="D59" s="344" t="s">
        <v>395</v>
      </c>
      <c r="E59" s="344">
        <v>78552</v>
      </c>
      <c r="F59" s="344" t="s">
        <v>396</v>
      </c>
      <c r="G59" s="344">
        <v>11</v>
      </c>
      <c r="H59" s="344" t="s">
        <v>14</v>
      </c>
      <c r="J59" s="344" t="s">
        <v>162</v>
      </c>
      <c r="L59" s="344" t="s">
        <v>163</v>
      </c>
      <c r="M59" s="344" t="s">
        <v>178</v>
      </c>
      <c r="P59" s="344">
        <v>0</v>
      </c>
      <c r="Q59" s="344" t="s">
        <v>397</v>
      </c>
      <c r="R59" s="344" t="s">
        <v>398</v>
      </c>
      <c r="S59" s="344">
        <v>122</v>
      </c>
      <c r="T59" s="344">
        <v>48061010401</v>
      </c>
    </row>
    <row r="60" spans="1:20" s="344" customFormat="1">
      <c r="A60" s="344">
        <v>18106</v>
      </c>
      <c r="B60" s="344" t="s">
        <v>698</v>
      </c>
      <c r="C60" s="552" t="s">
        <v>699</v>
      </c>
      <c r="D60" s="344" t="s">
        <v>700</v>
      </c>
      <c r="E60" s="344">
        <v>75650</v>
      </c>
      <c r="F60" s="344" t="s">
        <v>446</v>
      </c>
      <c r="G60" s="344">
        <v>4</v>
      </c>
      <c r="H60" s="184" t="s">
        <v>6</v>
      </c>
      <c r="L60" s="344" t="s">
        <v>163</v>
      </c>
      <c r="M60" s="344" t="s">
        <v>164</v>
      </c>
      <c r="P60" s="344">
        <v>0</v>
      </c>
      <c r="Q60" s="344" t="s">
        <v>701</v>
      </c>
      <c r="R60" s="344" t="s">
        <v>702</v>
      </c>
      <c r="S60" s="344">
        <v>120</v>
      </c>
      <c r="T60" s="344">
        <v>48203020605</v>
      </c>
    </row>
    <row r="61" spans="1:20" s="344" customFormat="1">
      <c r="A61" s="344">
        <v>18109</v>
      </c>
      <c r="B61" s="342" t="s">
        <v>703</v>
      </c>
      <c r="C61" s="342" t="s">
        <v>704</v>
      </c>
      <c r="D61" s="344" t="s">
        <v>156</v>
      </c>
      <c r="E61" s="344">
        <v>76905</v>
      </c>
      <c r="F61" s="344" t="s">
        <v>509</v>
      </c>
      <c r="G61" s="344">
        <v>12</v>
      </c>
      <c r="H61" s="344" t="s">
        <v>14</v>
      </c>
      <c r="L61" s="344" t="s">
        <v>163</v>
      </c>
      <c r="M61" s="344" t="s">
        <v>178</v>
      </c>
      <c r="P61" s="344">
        <v>0</v>
      </c>
      <c r="Q61" s="344" t="s">
        <v>701</v>
      </c>
      <c r="R61" s="344" t="s">
        <v>702</v>
      </c>
      <c r="S61" s="344">
        <v>110</v>
      </c>
      <c r="T61" s="344">
        <v>48451000802</v>
      </c>
    </row>
    <row r="62" spans="1:20" s="344" customFormat="1">
      <c r="A62" s="344">
        <v>18118</v>
      </c>
      <c r="B62" s="344" t="s">
        <v>399</v>
      </c>
      <c r="C62" s="344" t="s">
        <v>400</v>
      </c>
      <c r="D62" s="344" t="s">
        <v>401</v>
      </c>
      <c r="E62" s="344">
        <v>76067</v>
      </c>
      <c r="F62" s="344" t="s">
        <v>402</v>
      </c>
      <c r="G62" s="344">
        <v>3</v>
      </c>
      <c r="H62" s="344" t="s">
        <v>6</v>
      </c>
      <c r="I62" s="344" t="s">
        <v>162</v>
      </c>
      <c r="L62" s="344" t="s">
        <v>276</v>
      </c>
      <c r="M62" s="344" t="s">
        <v>403</v>
      </c>
      <c r="P62" s="551">
        <v>471893.31</v>
      </c>
      <c r="Q62" s="344" t="s">
        <v>404</v>
      </c>
      <c r="R62" s="344" t="s">
        <v>405</v>
      </c>
      <c r="S62" s="344">
        <v>113</v>
      </c>
      <c r="T62" s="344">
        <v>48363000600</v>
      </c>
    </row>
    <row r="63" spans="1:20" s="344" customFormat="1">
      <c r="A63" s="344">
        <v>18126</v>
      </c>
      <c r="B63" s="344" t="s">
        <v>406</v>
      </c>
      <c r="C63" s="344" t="s">
        <v>407</v>
      </c>
      <c r="D63" s="344" t="s">
        <v>310</v>
      </c>
      <c r="E63" s="344">
        <v>77836</v>
      </c>
      <c r="F63" s="344" t="s">
        <v>408</v>
      </c>
      <c r="G63" s="344">
        <v>8</v>
      </c>
      <c r="H63" s="344" t="s">
        <v>6</v>
      </c>
      <c r="L63" s="344" t="s">
        <v>163</v>
      </c>
      <c r="M63" s="344" t="s">
        <v>178</v>
      </c>
      <c r="P63" s="344">
        <v>818762</v>
      </c>
      <c r="Q63" s="344" t="s">
        <v>409</v>
      </c>
      <c r="R63" s="344" t="s">
        <v>410</v>
      </c>
      <c r="S63" s="344">
        <v>119</v>
      </c>
      <c r="T63" s="344">
        <v>48051970200</v>
      </c>
    </row>
    <row r="64" spans="1:20" s="344" customFormat="1">
      <c r="A64" s="344">
        <v>18127</v>
      </c>
      <c r="B64" s="344" t="s">
        <v>411</v>
      </c>
      <c r="C64" s="344" t="s">
        <v>412</v>
      </c>
      <c r="D64" s="344" t="s">
        <v>157</v>
      </c>
      <c r="E64" s="344">
        <v>79924</v>
      </c>
      <c r="F64" s="344" t="s">
        <v>413</v>
      </c>
      <c r="G64" s="344">
        <v>13</v>
      </c>
      <c r="H64" s="344" t="s">
        <v>14</v>
      </c>
      <c r="L64" s="344" t="s">
        <v>163</v>
      </c>
      <c r="M64" s="344" t="s">
        <v>164</v>
      </c>
      <c r="P64" s="344">
        <v>1149600</v>
      </c>
      <c r="Q64" s="344" t="s">
        <v>414</v>
      </c>
      <c r="R64" s="344" t="s">
        <v>415</v>
      </c>
      <c r="S64" s="344">
        <v>108</v>
      </c>
      <c r="T64" s="344">
        <v>48141000206</v>
      </c>
    </row>
    <row r="65" spans="1:20" s="344" customFormat="1">
      <c r="A65" s="344">
        <v>18129</v>
      </c>
      <c r="B65" s="344" t="s">
        <v>416</v>
      </c>
      <c r="C65" s="344" t="s">
        <v>417</v>
      </c>
      <c r="D65" s="344" t="s">
        <v>418</v>
      </c>
      <c r="E65" s="344">
        <v>79928</v>
      </c>
      <c r="F65" s="344" t="s">
        <v>157</v>
      </c>
      <c r="G65" s="344">
        <v>13</v>
      </c>
      <c r="H65" s="344" t="s">
        <v>14</v>
      </c>
      <c r="L65" s="344" t="s">
        <v>163</v>
      </c>
      <c r="M65" s="344" t="s">
        <v>178</v>
      </c>
      <c r="P65" s="344">
        <v>1258450</v>
      </c>
      <c r="Q65" s="344" t="s">
        <v>414</v>
      </c>
      <c r="R65" s="344" t="s">
        <v>415</v>
      </c>
      <c r="S65" s="344">
        <v>106</v>
      </c>
      <c r="T65" s="344">
        <v>48141010342</v>
      </c>
    </row>
    <row r="66" spans="1:20" s="344" customFormat="1">
      <c r="A66" s="344">
        <v>18130</v>
      </c>
      <c r="B66" s="344" t="s">
        <v>419</v>
      </c>
      <c r="C66" s="344" t="s">
        <v>420</v>
      </c>
      <c r="D66" s="344" t="s">
        <v>421</v>
      </c>
      <c r="E66" s="344">
        <v>79830</v>
      </c>
      <c r="F66" s="344" t="s">
        <v>422</v>
      </c>
      <c r="G66" s="344">
        <v>13</v>
      </c>
      <c r="H66" s="344" t="s">
        <v>6</v>
      </c>
      <c r="L66" s="344" t="s">
        <v>163</v>
      </c>
      <c r="M66" s="344" t="s">
        <v>178</v>
      </c>
      <c r="P66" s="344">
        <v>701300</v>
      </c>
      <c r="Q66" s="344" t="s">
        <v>414</v>
      </c>
      <c r="R66" s="344" t="s">
        <v>415</v>
      </c>
      <c r="S66" s="344">
        <v>106</v>
      </c>
      <c r="T66" s="344">
        <v>48043950400</v>
      </c>
    </row>
    <row r="67" spans="1:20" s="184" customFormat="1">
      <c r="A67" s="184">
        <v>18137</v>
      </c>
      <c r="B67" s="184" t="s">
        <v>423</v>
      </c>
      <c r="C67" s="184" t="s">
        <v>424</v>
      </c>
      <c r="D67" s="184" t="s">
        <v>11</v>
      </c>
      <c r="E67" s="184">
        <v>77036</v>
      </c>
      <c r="F67" s="184" t="s">
        <v>299</v>
      </c>
      <c r="G67" s="184">
        <v>6</v>
      </c>
      <c r="H67" s="184" t="s">
        <v>14</v>
      </c>
      <c r="J67" s="184" t="s">
        <v>162</v>
      </c>
      <c r="L67" s="184" t="s">
        <v>163</v>
      </c>
      <c r="M67" s="184" t="s">
        <v>360</v>
      </c>
      <c r="P67" s="184">
        <v>1500000</v>
      </c>
      <c r="Q67" s="184" t="s">
        <v>425</v>
      </c>
      <c r="R67" s="184" t="s">
        <v>426</v>
      </c>
      <c r="S67" s="184">
        <v>116</v>
      </c>
      <c r="T67" s="184">
        <v>48201432801</v>
      </c>
    </row>
    <row r="68" spans="1:20" s="184" customFormat="1">
      <c r="A68" s="184">
        <v>18138</v>
      </c>
      <c r="B68" s="184" t="s">
        <v>427</v>
      </c>
      <c r="C68" s="184" t="s">
        <v>428</v>
      </c>
      <c r="D68" s="184" t="s">
        <v>11</v>
      </c>
      <c r="E68" s="184">
        <v>77087</v>
      </c>
      <c r="F68" s="184" t="s">
        <v>299</v>
      </c>
      <c r="G68" s="184">
        <v>6</v>
      </c>
      <c r="H68" s="184" t="s">
        <v>14</v>
      </c>
      <c r="L68" s="184" t="s">
        <v>163</v>
      </c>
      <c r="M68" s="184" t="s">
        <v>164</v>
      </c>
      <c r="P68" s="184">
        <v>1500000</v>
      </c>
      <c r="Q68" s="184" t="s">
        <v>429</v>
      </c>
      <c r="R68" s="184" t="s">
        <v>430</v>
      </c>
      <c r="S68" s="184">
        <v>115</v>
      </c>
      <c r="T68" s="184">
        <v>48201332600</v>
      </c>
    </row>
    <row r="69" spans="1:20" s="184" customFormat="1">
      <c r="A69" s="184">
        <v>18142</v>
      </c>
      <c r="B69" s="184" t="s">
        <v>431</v>
      </c>
      <c r="C69" s="184" t="s">
        <v>432</v>
      </c>
      <c r="D69" s="184" t="s">
        <v>154</v>
      </c>
      <c r="E69" s="184">
        <v>78223</v>
      </c>
      <c r="F69" s="184" t="s">
        <v>339</v>
      </c>
      <c r="G69" s="184">
        <v>9</v>
      </c>
      <c r="H69" s="184" t="s">
        <v>14</v>
      </c>
      <c r="L69" s="184" t="s">
        <v>163</v>
      </c>
      <c r="M69" s="184" t="s">
        <v>164</v>
      </c>
      <c r="P69" s="184">
        <v>1140000</v>
      </c>
      <c r="Q69" s="184" t="s">
        <v>433</v>
      </c>
      <c r="R69" s="184" t="s">
        <v>434</v>
      </c>
      <c r="S69" s="184">
        <v>115</v>
      </c>
      <c r="T69" s="184">
        <v>48029141600</v>
      </c>
    </row>
    <row r="70" spans="1:20" s="184" customFormat="1">
      <c r="A70" s="184">
        <v>18143</v>
      </c>
      <c r="B70" s="184" t="s">
        <v>435</v>
      </c>
      <c r="C70" s="184" t="s">
        <v>436</v>
      </c>
      <c r="D70" s="184" t="s">
        <v>437</v>
      </c>
      <c r="E70" s="184">
        <v>75604</v>
      </c>
      <c r="F70" s="184" t="s">
        <v>438</v>
      </c>
      <c r="G70" s="184">
        <v>4</v>
      </c>
      <c r="H70" s="184" t="s">
        <v>14</v>
      </c>
      <c r="L70" s="184" t="s">
        <v>163</v>
      </c>
      <c r="M70" s="184" t="s">
        <v>178</v>
      </c>
      <c r="P70" s="184">
        <v>0</v>
      </c>
      <c r="Q70" s="184" t="s">
        <v>433</v>
      </c>
      <c r="R70" s="184" t="s">
        <v>430</v>
      </c>
      <c r="S70" s="184">
        <v>120</v>
      </c>
      <c r="T70" s="184">
        <v>48183000501</v>
      </c>
    </row>
    <row r="71" spans="1:20" s="184" customFormat="1">
      <c r="A71" s="184">
        <v>18148</v>
      </c>
      <c r="B71" s="184" t="s">
        <v>439</v>
      </c>
      <c r="C71" s="184" t="s">
        <v>440</v>
      </c>
      <c r="D71" s="184" t="s">
        <v>441</v>
      </c>
      <c r="E71" s="184">
        <v>78572</v>
      </c>
      <c r="F71" s="184" t="s">
        <v>442</v>
      </c>
      <c r="G71" s="184">
        <v>11</v>
      </c>
      <c r="H71" s="184" t="s">
        <v>14</v>
      </c>
      <c r="L71" s="184" t="s">
        <v>163</v>
      </c>
      <c r="M71" s="184" t="s">
        <v>178</v>
      </c>
      <c r="P71" s="184">
        <v>1030000</v>
      </c>
      <c r="Q71" s="184" t="s">
        <v>433</v>
      </c>
      <c r="R71" s="184" t="s">
        <v>434</v>
      </c>
      <c r="S71" s="184">
        <v>120</v>
      </c>
      <c r="T71" s="184">
        <v>48215024205</v>
      </c>
    </row>
    <row r="72" spans="1:20" s="184" customFormat="1">
      <c r="A72" s="184">
        <v>18152</v>
      </c>
      <c r="B72" s="184" t="s">
        <v>443</v>
      </c>
      <c r="C72" s="184" t="s">
        <v>444</v>
      </c>
      <c r="D72" s="184" t="s">
        <v>445</v>
      </c>
      <c r="E72" s="184">
        <v>75670</v>
      </c>
      <c r="F72" s="184" t="s">
        <v>446</v>
      </c>
      <c r="G72" s="184">
        <v>4</v>
      </c>
      <c r="H72" s="184" t="s">
        <v>6</v>
      </c>
      <c r="L72" s="184" t="s">
        <v>163</v>
      </c>
      <c r="M72" s="184" t="s">
        <v>164</v>
      </c>
      <c r="P72" s="184">
        <v>0</v>
      </c>
      <c r="Q72" s="184" t="s">
        <v>447</v>
      </c>
      <c r="R72" s="184" t="s">
        <v>448</v>
      </c>
      <c r="S72" s="184">
        <v>120</v>
      </c>
      <c r="T72" s="184">
        <v>48203020104</v>
      </c>
    </row>
    <row r="73" spans="1:20" s="184" customFormat="1">
      <c r="A73" s="184">
        <v>18157</v>
      </c>
      <c r="B73" s="184" t="s">
        <v>449</v>
      </c>
      <c r="C73" s="184" t="s">
        <v>450</v>
      </c>
      <c r="D73" s="184" t="s">
        <v>451</v>
      </c>
      <c r="E73" s="184">
        <v>78586</v>
      </c>
      <c r="F73" s="184" t="s">
        <v>452</v>
      </c>
      <c r="G73" s="184">
        <v>11</v>
      </c>
      <c r="H73" s="184" t="s">
        <v>6</v>
      </c>
      <c r="J73" s="184" t="s">
        <v>162</v>
      </c>
      <c r="L73" s="184" t="s">
        <v>163</v>
      </c>
      <c r="M73" s="184" t="s">
        <v>178</v>
      </c>
      <c r="P73" s="184">
        <v>0</v>
      </c>
      <c r="Q73" s="184" t="s">
        <v>397</v>
      </c>
      <c r="R73" s="184" t="s">
        <v>398</v>
      </c>
      <c r="S73" s="184">
        <v>121</v>
      </c>
      <c r="T73" s="184">
        <v>48489950500</v>
      </c>
    </row>
    <row r="74" spans="1:20" s="184" customFormat="1">
      <c r="A74" s="184">
        <v>18159</v>
      </c>
      <c r="B74" s="184" t="s">
        <v>453</v>
      </c>
      <c r="C74" s="184" t="s">
        <v>454</v>
      </c>
      <c r="D74" s="184" t="s">
        <v>304</v>
      </c>
      <c r="E74" s="184">
        <v>77044</v>
      </c>
      <c r="F74" s="184" t="s">
        <v>299</v>
      </c>
      <c r="G74" s="184">
        <v>6</v>
      </c>
      <c r="H74" s="184" t="s">
        <v>14</v>
      </c>
      <c r="L74" s="184" t="s">
        <v>163</v>
      </c>
      <c r="M74" s="184" t="s">
        <v>178</v>
      </c>
      <c r="P74" s="184">
        <v>1500000</v>
      </c>
      <c r="Q74" s="184" t="s">
        <v>455</v>
      </c>
      <c r="R74" s="184" t="s">
        <v>456</v>
      </c>
      <c r="S74" s="184">
        <v>120</v>
      </c>
      <c r="T74" s="184">
        <v>48201232302</v>
      </c>
    </row>
    <row r="75" spans="1:20" s="184" customFormat="1">
      <c r="A75" s="184">
        <v>18161</v>
      </c>
      <c r="B75" s="184" t="s">
        <v>457</v>
      </c>
      <c r="C75" s="184" t="s">
        <v>458</v>
      </c>
      <c r="D75" s="184" t="s">
        <v>11</v>
      </c>
      <c r="E75" s="184">
        <v>77075</v>
      </c>
      <c r="F75" s="184" t="s">
        <v>299</v>
      </c>
      <c r="G75" s="184">
        <v>6</v>
      </c>
      <c r="H75" s="184" t="s">
        <v>14</v>
      </c>
      <c r="L75" s="184" t="s">
        <v>163</v>
      </c>
      <c r="M75" s="184" t="s">
        <v>164</v>
      </c>
      <c r="P75" s="184">
        <v>1500000</v>
      </c>
      <c r="Q75" s="184" t="s">
        <v>459</v>
      </c>
      <c r="R75" s="184" t="s">
        <v>456</v>
      </c>
      <c r="S75" s="184">
        <v>120</v>
      </c>
      <c r="T75" s="184">
        <v>48201333901</v>
      </c>
    </row>
    <row r="76" spans="1:20" s="184" customFormat="1">
      <c r="A76" s="184">
        <v>18162</v>
      </c>
      <c r="B76" s="184" t="s">
        <v>460</v>
      </c>
      <c r="C76" s="184" t="s">
        <v>461</v>
      </c>
      <c r="D76" s="184" t="s">
        <v>7</v>
      </c>
      <c r="E76" s="184">
        <v>79401</v>
      </c>
      <c r="F76" s="184" t="s">
        <v>7</v>
      </c>
      <c r="G76" s="184">
        <v>1</v>
      </c>
      <c r="H76" s="184" t="s">
        <v>14</v>
      </c>
      <c r="L76" s="184" t="s">
        <v>163</v>
      </c>
      <c r="M76" s="184" t="s">
        <v>164</v>
      </c>
      <c r="P76" s="184">
        <v>1417843</v>
      </c>
      <c r="Q76" s="184" t="s">
        <v>462</v>
      </c>
      <c r="R76" s="184" t="s">
        <v>463</v>
      </c>
      <c r="S76" s="184">
        <v>124</v>
      </c>
      <c r="T76" s="184">
        <v>48303000700</v>
      </c>
    </row>
    <row r="77" spans="1:20" s="184" customFormat="1">
      <c r="A77" s="184">
        <v>18166</v>
      </c>
      <c r="B77" s="184" t="s">
        <v>464</v>
      </c>
      <c r="C77" s="184" t="s">
        <v>465</v>
      </c>
      <c r="D77" s="184" t="s">
        <v>154</v>
      </c>
      <c r="E77" s="184">
        <v>78207</v>
      </c>
      <c r="F77" s="184" t="s">
        <v>339</v>
      </c>
      <c r="G77" s="184">
        <v>9</v>
      </c>
      <c r="H77" s="184" t="s">
        <v>14</v>
      </c>
      <c r="L77" s="184" t="s">
        <v>163</v>
      </c>
      <c r="M77" s="184" t="s">
        <v>164</v>
      </c>
      <c r="P77" s="184">
        <v>0</v>
      </c>
      <c r="Q77" s="184" t="s">
        <v>466</v>
      </c>
      <c r="R77" s="184" t="s">
        <v>467</v>
      </c>
      <c r="S77" s="184">
        <v>117</v>
      </c>
      <c r="T77" s="184">
        <v>48029170200</v>
      </c>
    </row>
    <row r="78" spans="1:20" s="184" customFormat="1">
      <c r="A78" s="184">
        <v>18171</v>
      </c>
      <c r="B78" s="184" t="s">
        <v>468</v>
      </c>
      <c r="C78" s="184" t="s">
        <v>469</v>
      </c>
      <c r="D78" s="184" t="s">
        <v>470</v>
      </c>
      <c r="E78" s="184">
        <v>78520</v>
      </c>
      <c r="F78" s="184" t="s">
        <v>471</v>
      </c>
      <c r="G78" s="184">
        <v>11</v>
      </c>
      <c r="H78" s="184" t="s">
        <v>14</v>
      </c>
      <c r="I78" s="184" t="s">
        <v>162</v>
      </c>
      <c r="J78" s="184" t="s">
        <v>162</v>
      </c>
      <c r="L78" s="184" t="s">
        <v>163</v>
      </c>
      <c r="M78" s="184" t="s">
        <v>178</v>
      </c>
      <c r="P78" s="184">
        <v>2000000</v>
      </c>
      <c r="Q78" s="184" t="s">
        <v>472</v>
      </c>
      <c r="R78" s="184" t="s">
        <v>473</v>
      </c>
      <c r="S78" s="184">
        <v>111</v>
      </c>
      <c r="T78" s="184">
        <v>48061013401</v>
      </c>
    </row>
    <row r="79" spans="1:20" s="184" customFormat="1">
      <c r="A79" s="184">
        <v>18186</v>
      </c>
      <c r="B79" s="184" t="s">
        <v>474</v>
      </c>
      <c r="C79" s="184" t="s">
        <v>475</v>
      </c>
      <c r="D79" s="184" t="s">
        <v>155</v>
      </c>
      <c r="E79" s="184">
        <v>78417</v>
      </c>
      <c r="F79" s="184" t="s">
        <v>476</v>
      </c>
      <c r="G79" s="184">
        <v>10</v>
      </c>
      <c r="H79" s="184" t="s">
        <v>14</v>
      </c>
      <c r="L79" s="184" t="s">
        <v>163</v>
      </c>
      <c r="M79" s="184" t="s">
        <v>178</v>
      </c>
      <c r="P79" s="184">
        <v>1291158</v>
      </c>
      <c r="Q79" s="184" t="s">
        <v>477</v>
      </c>
      <c r="R79" s="184" t="s">
        <v>478</v>
      </c>
      <c r="S79" s="184">
        <v>120</v>
      </c>
      <c r="T79" s="184">
        <v>48355001802</v>
      </c>
    </row>
    <row r="80" spans="1:20" s="184" customFormat="1">
      <c r="A80" s="184">
        <v>18188</v>
      </c>
      <c r="B80" s="184" t="s">
        <v>479</v>
      </c>
      <c r="C80" s="184" t="s">
        <v>480</v>
      </c>
      <c r="D80" s="184" t="s">
        <v>481</v>
      </c>
      <c r="E80" s="184">
        <v>78596</v>
      </c>
      <c r="F80" s="184" t="s">
        <v>442</v>
      </c>
      <c r="G80" s="184">
        <v>11</v>
      </c>
      <c r="H80" s="184" t="s">
        <v>14</v>
      </c>
      <c r="L80" s="184" t="s">
        <v>163</v>
      </c>
      <c r="M80" s="184" t="s">
        <v>164</v>
      </c>
      <c r="P80" s="184">
        <v>1500000</v>
      </c>
      <c r="Q80" s="184" t="s">
        <v>477</v>
      </c>
      <c r="R80" s="184" t="s">
        <v>478</v>
      </c>
      <c r="S80" s="184">
        <v>120</v>
      </c>
      <c r="T80" s="184">
        <v>48215022402</v>
      </c>
    </row>
    <row r="81" spans="1:20" s="184" customFormat="1">
      <c r="A81" s="184">
        <v>18192</v>
      </c>
      <c r="B81" s="184" t="s">
        <v>482</v>
      </c>
      <c r="C81" s="184" t="s">
        <v>483</v>
      </c>
      <c r="D81" s="184" t="s">
        <v>7</v>
      </c>
      <c r="E81" s="184">
        <v>79423</v>
      </c>
      <c r="F81" s="184" t="s">
        <v>7</v>
      </c>
      <c r="G81" s="184">
        <v>1</v>
      </c>
      <c r="H81" s="184" t="s">
        <v>14</v>
      </c>
      <c r="L81" s="184" t="s">
        <v>163</v>
      </c>
      <c r="M81" s="184" t="s">
        <v>178</v>
      </c>
      <c r="P81" s="184">
        <v>1188287</v>
      </c>
      <c r="Q81" s="184" t="s">
        <v>484</v>
      </c>
      <c r="R81" s="184" t="s">
        <v>485</v>
      </c>
      <c r="S81" s="184">
        <v>120</v>
      </c>
      <c r="T81" s="184">
        <v>48303010510</v>
      </c>
    </row>
    <row r="82" spans="1:20" s="184" customFormat="1">
      <c r="A82" s="184">
        <v>18196</v>
      </c>
      <c r="B82" s="184" t="s">
        <v>486</v>
      </c>
      <c r="C82" s="184" t="s">
        <v>487</v>
      </c>
      <c r="D82" s="184" t="s">
        <v>488</v>
      </c>
      <c r="E82" s="184">
        <v>78589</v>
      </c>
      <c r="F82" s="184" t="s">
        <v>442</v>
      </c>
      <c r="G82" s="184">
        <v>11</v>
      </c>
      <c r="H82" s="184" t="s">
        <v>14</v>
      </c>
      <c r="L82" s="184" t="s">
        <v>163</v>
      </c>
      <c r="M82" s="184" t="s">
        <v>178</v>
      </c>
      <c r="P82" s="184">
        <v>1500000</v>
      </c>
      <c r="Q82" s="184" t="s">
        <v>489</v>
      </c>
      <c r="R82" s="184" t="s">
        <v>463</v>
      </c>
      <c r="S82" s="184">
        <v>120</v>
      </c>
      <c r="T82" s="184">
        <v>48215021805</v>
      </c>
    </row>
    <row r="83" spans="1:20" s="184" customFormat="1">
      <c r="A83" s="184">
        <v>18206</v>
      </c>
      <c r="B83" s="184" t="s">
        <v>490</v>
      </c>
      <c r="C83" s="184" t="s">
        <v>491</v>
      </c>
      <c r="D83" s="184" t="s">
        <v>492</v>
      </c>
      <c r="E83" s="184">
        <v>78589</v>
      </c>
      <c r="F83" s="184" t="s">
        <v>442</v>
      </c>
      <c r="G83" s="184">
        <v>11</v>
      </c>
      <c r="H83" s="184" t="s">
        <v>14</v>
      </c>
      <c r="L83" s="184" t="s">
        <v>163</v>
      </c>
      <c r="M83" s="184" t="s">
        <v>178</v>
      </c>
      <c r="P83" s="184">
        <v>1500000</v>
      </c>
      <c r="Q83" s="184" t="s">
        <v>489</v>
      </c>
      <c r="R83" s="184" t="s">
        <v>463</v>
      </c>
      <c r="S83" s="184">
        <v>120</v>
      </c>
      <c r="T83" s="184">
        <v>48215022001</v>
      </c>
    </row>
    <row r="84" spans="1:20" s="184" customFormat="1">
      <c r="A84" s="184">
        <v>18208</v>
      </c>
      <c r="B84" s="184" t="s">
        <v>493</v>
      </c>
      <c r="C84" s="184" t="s">
        <v>494</v>
      </c>
      <c r="D84" s="184" t="s">
        <v>495</v>
      </c>
      <c r="E84" s="184">
        <v>78596</v>
      </c>
      <c r="F84" s="184" t="s">
        <v>442</v>
      </c>
      <c r="G84" s="184">
        <v>11</v>
      </c>
      <c r="H84" s="184" t="s">
        <v>14</v>
      </c>
      <c r="L84" s="184" t="s">
        <v>163</v>
      </c>
      <c r="M84" s="184" t="s">
        <v>164</v>
      </c>
      <c r="P84" s="184">
        <v>1315170</v>
      </c>
      <c r="Q84" s="184" t="s">
        <v>489</v>
      </c>
      <c r="R84" s="184" t="s">
        <v>463</v>
      </c>
      <c r="S84" s="184">
        <v>120</v>
      </c>
      <c r="T84" s="184">
        <v>48215022402</v>
      </c>
    </row>
    <row r="85" spans="1:20" s="184" customFormat="1">
      <c r="A85" s="184">
        <v>18217</v>
      </c>
      <c r="B85" s="184" t="s">
        <v>496</v>
      </c>
      <c r="C85" s="184" t="s">
        <v>497</v>
      </c>
      <c r="D85" s="184" t="s">
        <v>498</v>
      </c>
      <c r="E85" s="184">
        <v>77517</v>
      </c>
      <c r="F85" s="184" t="s">
        <v>499</v>
      </c>
      <c r="G85" s="184">
        <v>6</v>
      </c>
      <c r="H85" s="184" t="s">
        <v>14</v>
      </c>
      <c r="L85" s="184" t="s">
        <v>163</v>
      </c>
      <c r="M85" s="184" t="s">
        <v>178</v>
      </c>
      <c r="P85" s="184">
        <v>0</v>
      </c>
      <c r="Q85" s="184" t="s">
        <v>210</v>
      </c>
      <c r="R85" s="184" t="s">
        <v>500</v>
      </c>
      <c r="S85" s="184">
        <v>117</v>
      </c>
      <c r="T85" s="184">
        <v>48167723400</v>
      </c>
    </row>
    <row r="86" spans="1:20" s="184" customFormat="1">
      <c r="A86" s="184">
        <v>18218</v>
      </c>
      <c r="B86" s="184" t="s">
        <v>501</v>
      </c>
      <c r="C86" s="184" t="s">
        <v>502</v>
      </c>
      <c r="D86" s="184" t="s">
        <v>304</v>
      </c>
      <c r="E86" s="184">
        <v>77064</v>
      </c>
      <c r="F86" s="184" t="s">
        <v>299</v>
      </c>
      <c r="G86" s="184">
        <v>6</v>
      </c>
      <c r="H86" s="184" t="s">
        <v>14</v>
      </c>
      <c r="L86" s="184" t="s">
        <v>163</v>
      </c>
      <c r="M86" s="184" t="s">
        <v>178</v>
      </c>
      <c r="P86" s="184">
        <v>1500000</v>
      </c>
      <c r="Q86" s="184" t="s">
        <v>503</v>
      </c>
      <c r="R86" s="184" t="s">
        <v>504</v>
      </c>
      <c r="S86" s="184">
        <v>120</v>
      </c>
      <c r="T86" s="184">
        <v>48201552500</v>
      </c>
    </row>
    <row r="87" spans="1:20" s="184" customFormat="1">
      <c r="A87" s="184">
        <v>18219</v>
      </c>
      <c r="B87" s="184" t="s">
        <v>505</v>
      </c>
      <c r="C87" s="184" t="s">
        <v>506</v>
      </c>
      <c r="D87" s="184" t="s">
        <v>11</v>
      </c>
      <c r="E87" s="184">
        <v>77051</v>
      </c>
      <c r="F87" s="184" t="s">
        <v>299</v>
      </c>
      <c r="G87" s="184">
        <v>6</v>
      </c>
      <c r="H87" s="184" t="s">
        <v>14</v>
      </c>
      <c r="L87" s="184" t="s">
        <v>163</v>
      </c>
      <c r="M87" s="184" t="s">
        <v>178</v>
      </c>
      <c r="P87" s="184">
        <v>0</v>
      </c>
      <c r="Q87" s="184" t="s">
        <v>503</v>
      </c>
      <c r="R87" s="184" t="s">
        <v>504</v>
      </c>
      <c r="S87" s="184">
        <v>110</v>
      </c>
      <c r="T87" s="184">
        <v>48201331300</v>
      </c>
    </row>
    <row r="88" spans="1:20" s="184" customFormat="1">
      <c r="A88" s="184">
        <v>18222</v>
      </c>
      <c r="B88" s="184" t="s">
        <v>507</v>
      </c>
      <c r="C88" s="184" t="s">
        <v>508</v>
      </c>
      <c r="D88" s="184" t="s">
        <v>156</v>
      </c>
      <c r="E88" s="184">
        <v>76904</v>
      </c>
      <c r="F88" s="184" t="s">
        <v>509</v>
      </c>
      <c r="G88" s="184">
        <v>12</v>
      </c>
      <c r="H88" s="184" t="s">
        <v>14</v>
      </c>
      <c r="L88" s="184" t="s">
        <v>163</v>
      </c>
      <c r="M88" s="184" t="s">
        <v>178</v>
      </c>
      <c r="P88" s="184">
        <v>778700</v>
      </c>
      <c r="Q88" s="184" t="s">
        <v>510</v>
      </c>
      <c r="R88" s="184" t="s">
        <v>511</v>
      </c>
      <c r="S88" s="184">
        <v>112</v>
      </c>
      <c r="T88" s="184">
        <v>48451000801</v>
      </c>
    </row>
    <row r="89" spans="1:20" s="184" customFormat="1">
      <c r="A89" s="184">
        <v>18223</v>
      </c>
      <c r="B89" s="184" t="s">
        <v>512</v>
      </c>
      <c r="C89" s="184" t="s">
        <v>513</v>
      </c>
      <c r="D89" s="184" t="s">
        <v>514</v>
      </c>
      <c r="E89" s="184">
        <v>79065</v>
      </c>
      <c r="F89" s="184" t="s">
        <v>515</v>
      </c>
      <c r="G89" s="184">
        <v>1</v>
      </c>
      <c r="H89" s="184" t="s">
        <v>6</v>
      </c>
      <c r="L89" s="184" t="s">
        <v>163</v>
      </c>
      <c r="M89" s="184" t="s">
        <v>178</v>
      </c>
      <c r="P89" s="184">
        <v>777900</v>
      </c>
      <c r="Q89" s="184" t="s">
        <v>510</v>
      </c>
      <c r="R89" s="184" t="s">
        <v>511</v>
      </c>
      <c r="S89" s="184">
        <v>121</v>
      </c>
      <c r="T89" s="184">
        <v>48179950300</v>
      </c>
    </row>
    <row r="90" spans="1:20" s="184" customFormat="1">
      <c r="A90" s="184">
        <v>18224</v>
      </c>
      <c r="B90" s="184" t="s">
        <v>516</v>
      </c>
      <c r="C90" s="184" t="s">
        <v>517</v>
      </c>
      <c r="D90" s="184" t="s">
        <v>518</v>
      </c>
      <c r="E90" s="184">
        <v>79735</v>
      </c>
      <c r="F90" s="184" t="s">
        <v>519</v>
      </c>
      <c r="G90" s="184">
        <v>12</v>
      </c>
      <c r="H90" s="184" t="s">
        <v>6</v>
      </c>
      <c r="L90" s="184" t="s">
        <v>163</v>
      </c>
      <c r="M90" s="184" t="s">
        <v>178</v>
      </c>
      <c r="P90" s="184">
        <v>0</v>
      </c>
      <c r="Q90" s="184" t="s">
        <v>520</v>
      </c>
      <c r="R90" s="184" t="s">
        <v>521</v>
      </c>
      <c r="S90" s="184">
        <v>107</v>
      </c>
      <c r="T90" s="184">
        <v>48371950400</v>
      </c>
    </row>
    <row r="91" spans="1:20" s="184" customFormat="1">
      <c r="A91" s="184">
        <v>18230</v>
      </c>
      <c r="B91" s="184" t="s">
        <v>522</v>
      </c>
      <c r="C91" s="184" t="s">
        <v>523</v>
      </c>
      <c r="D91" s="184" t="s">
        <v>524</v>
      </c>
      <c r="E91" s="184">
        <v>78583</v>
      </c>
      <c r="F91" s="184" t="s">
        <v>471</v>
      </c>
      <c r="G91" s="184">
        <v>11</v>
      </c>
      <c r="H91" s="184" t="s">
        <v>6</v>
      </c>
      <c r="L91" s="184" t="s">
        <v>163</v>
      </c>
      <c r="M91" s="184" t="s">
        <v>178</v>
      </c>
      <c r="P91" s="184">
        <v>770000</v>
      </c>
      <c r="Q91" s="184" t="s">
        <v>525</v>
      </c>
      <c r="R91" s="184">
        <v>0</v>
      </c>
      <c r="S91" s="184">
        <v>117</v>
      </c>
      <c r="T91" s="184">
        <v>48061010100</v>
      </c>
    </row>
    <row r="92" spans="1:20" s="184" customFormat="1">
      <c r="A92" s="184">
        <v>18235</v>
      </c>
      <c r="B92" s="184" t="s">
        <v>526</v>
      </c>
      <c r="C92" s="184" t="s">
        <v>527</v>
      </c>
      <c r="D92" s="184" t="s">
        <v>528</v>
      </c>
      <c r="E92" s="184">
        <v>78501</v>
      </c>
      <c r="F92" s="184" t="s">
        <v>442</v>
      </c>
      <c r="G92" s="184">
        <v>11</v>
      </c>
      <c r="H92" s="184" t="s">
        <v>14</v>
      </c>
      <c r="I92" s="184" t="s">
        <v>162</v>
      </c>
      <c r="K92" s="184" t="s">
        <v>162</v>
      </c>
      <c r="L92" s="184" t="s">
        <v>276</v>
      </c>
      <c r="M92" s="184" t="s">
        <v>178</v>
      </c>
      <c r="P92" s="184">
        <v>1883683</v>
      </c>
      <c r="Q92" s="184" t="s">
        <v>525</v>
      </c>
      <c r="R92" s="184" t="s">
        <v>529</v>
      </c>
      <c r="S92" s="184">
        <v>113</v>
      </c>
      <c r="T92" s="184">
        <v>48215021000</v>
      </c>
    </row>
    <row r="93" spans="1:20" s="184" customFormat="1">
      <c r="A93" s="184">
        <v>18239</v>
      </c>
      <c r="B93" s="184" t="s">
        <v>530</v>
      </c>
      <c r="C93" s="184" t="s">
        <v>531</v>
      </c>
      <c r="D93" s="184" t="s">
        <v>470</v>
      </c>
      <c r="E93" s="184">
        <v>78520</v>
      </c>
      <c r="F93" s="184" t="s">
        <v>471</v>
      </c>
      <c r="G93" s="184">
        <v>11</v>
      </c>
      <c r="H93" s="184" t="s">
        <v>14</v>
      </c>
      <c r="J93" s="184" t="s">
        <v>162</v>
      </c>
      <c r="L93" s="184" t="s">
        <v>163</v>
      </c>
      <c r="M93" s="184" t="s">
        <v>178</v>
      </c>
      <c r="P93" s="184">
        <v>1118000</v>
      </c>
      <c r="Q93" s="184" t="s">
        <v>532</v>
      </c>
      <c r="R93" s="184" t="s">
        <v>533</v>
      </c>
      <c r="S93" s="184">
        <v>117</v>
      </c>
      <c r="T93" s="184">
        <v>48061014400</v>
      </c>
    </row>
    <row r="94" spans="1:20" s="184" customFormat="1">
      <c r="A94" s="184">
        <v>18243</v>
      </c>
      <c r="B94" s="184" t="s">
        <v>534</v>
      </c>
      <c r="C94" s="184" t="s">
        <v>534</v>
      </c>
      <c r="D94" s="184" t="s">
        <v>11</v>
      </c>
      <c r="E94" s="184">
        <v>77004</v>
      </c>
      <c r="F94" s="184" t="s">
        <v>299</v>
      </c>
      <c r="G94" s="184">
        <v>6</v>
      </c>
      <c r="H94" s="184" t="s">
        <v>14</v>
      </c>
      <c r="J94" s="184" t="s">
        <v>162</v>
      </c>
      <c r="L94" s="184" t="s">
        <v>163</v>
      </c>
      <c r="M94" s="184" t="s">
        <v>164</v>
      </c>
      <c r="P94" s="184">
        <v>1500000</v>
      </c>
      <c r="Q94" s="184" t="s">
        <v>535</v>
      </c>
      <c r="R94" s="184" t="s">
        <v>536</v>
      </c>
      <c r="S94" s="184">
        <v>120</v>
      </c>
      <c r="T94" s="184">
        <v>48201312700</v>
      </c>
    </row>
    <row r="95" spans="1:20" s="184" customFormat="1">
      <c r="A95" s="184">
        <v>18245</v>
      </c>
      <c r="B95" s="184" t="s">
        <v>537</v>
      </c>
      <c r="C95" s="184" t="s">
        <v>538</v>
      </c>
      <c r="D95" s="184" t="s">
        <v>309</v>
      </c>
      <c r="E95" s="184">
        <v>78644</v>
      </c>
      <c r="F95" s="184" t="s">
        <v>310</v>
      </c>
      <c r="G95" s="184">
        <v>7</v>
      </c>
      <c r="H95" s="184" t="s">
        <v>6</v>
      </c>
      <c r="L95" s="184" t="s">
        <v>163</v>
      </c>
      <c r="M95" s="184" t="s">
        <v>178</v>
      </c>
      <c r="P95" s="184">
        <v>500000</v>
      </c>
      <c r="Q95" s="184" t="s">
        <v>539</v>
      </c>
      <c r="R95" s="184" t="s">
        <v>540</v>
      </c>
      <c r="S95" s="184">
        <v>120</v>
      </c>
      <c r="T95" s="184">
        <v>48055960300</v>
      </c>
    </row>
    <row r="96" spans="1:20" s="184" customFormat="1">
      <c r="A96" s="184">
        <v>18249</v>
      </c>
      <c r="B96" s="184" t="s">
        <v>541</v>
      </c>
      <c r="C96" s="184" t="s">
        <v>542</v>
      </c>
      <c r="D96" s="184" t="s">
        <v>543</v>
      </c>
      <c r="E96" s="184">
        <v>77659</v>
      </c>
      <c r="F96" s="184" t="s">
        <v>544</v>
      </c>
      <c r="G96" s="184">
        <v>5</v>
      </c>
      <c r="H96" s="184" t="s">
        <v>6</v>
      </c>
      <c r="K96" s="184" t="s">
        <v>162</v>
      </c>
      <c r="L96" s="184" t="s">
        <v>276</v>
      </c>
      <c r="M96" s="184" t="s">
        <v>178</v>
      </c>
      <c r="P96" s="184">
        <v>266484</v>
      </c>
      <c r="Q96" s="184" t="s">
        <v>545</v>
      </c>
      <c r="R96" s="184" t="s">
        <v>546</v>
      </c>
      <c r="S96" s="184">
        <v>118</v>
      </c>
      <c r="T96" s="184">
        <v>48199030200</v>
      </c>
    </row>
    <row r="97" spans="1:20" s="184" customFormat="1">
      <c r="A97" s="184">
        <v>18250</v>
      </c>
      <c r="B97" s="184" t="s">
        <v>547</v>
      </c>
      <c r="C97" s="184" t="s">
        <v>548</v>
      </c>
      <c r="D97" s="184" t="s">
        <v>549</v>
      </c>
      <c r="E97" s="184">
        <v>75951</v>
      </c>
      <c r="F97" s="184" t="s">
        <v>549</v>
      </c>
      <c r="G97" s="184">
        <v>5</v>
      </c>
      <c r="H97" s="184" t="s">
        <v>6</v>
      </c>
      <c r="K97" s="184" t="s">
        <v>162</v>
      </c>
      <c r="L97" s="184" t="s">
        <v>276</v>
      </c>
      <c r="M97" s="184" t="s">
        <v>178</v>
      </c>
      <c r="P97" s="184">
        <v>590473</v>
      </c>
      <c r="Q97" s="184" t="s">
        <v>545</v>
      </c>
      <c r="R97" s="184" t="s">
        <v>546</v>
      </c>
      <c r="S97" s="184">
        <v>112</v>
      </c>
      <c r="T97" s="184">
        <v>48241950100</v>
      </c>
    </row>
    <row r="98" spans="1:20" s="184" customFormat="1">
      <c r="A98" s="184">
        <v>18251</v>
      </c>
      <c r="B98" s="184" t="s">
        <v>550</v>
      </c>
      <c r="C98" s="184" t="s">
        <v>551</v>
      </c>
      <c r="D98" s="184" t="s">
        <v>552</v>
      </c>
      <c r="E98" s="184">
        <v>75845</v>
      </c>
      <c r="F98" s="184" t="s">
        <v>553</v>
      </c>
      <c r="G98" s="184">
        <v>5</v>
      </c>
      <c r="H98" s="184" t="s">
        <v>6</v>
      </c>
      <c r="K98" s="184" t="s">
        <v>162</v>
      </c>
      <c r="L98" s="184" t="s">
        <v>276</v>
      </c>
      <c r="M98" s="184" t="s">
        <v>403</v>
      </c>
      <c r="P98" s="184">
        <v>304668</v>
      </c>
      <c r="Q98" s="184" t="s">
        <v>545</v>
      </c>
      <c r="R98" s="184" t="s">
        <v>546</v>
      </c>
      <c r="S98" s="184">
        <v>111</v>
      </c>
      <c r="T98" s="184">
        <v>48455950200</v>
      </c>
    </row>
    <row r="99" spans="1:20" s="184" customFormat="1">
      <c r="A99" s="184">
        <v>18254</v>
      </c>
      <c r="B99" s="184" t="s">
        <v>554</v>
      </c>
      <c r="C99" s="184" t="s">
        <v>555</v>
      </c>
      <c r="D99" s="184" t="s">
        <v>11</v>
      </c>
      <c r="E99" s="184">
        <v>77008</v>
      </c>
      <c r="F99" s="184" t="s">
        <v>299</v>
      </c>
      <c r="G99" s="184">
        <v>6</v>
      </c>
      <c r="H99" s="184" t="s">
        <v>14</v>
      </c>
      <c r="L99" s="184" t="s">
        <v>163</v>
      </c>
      <c r="M99" s="184" t="s">
        <v>178</v>
      </c>
      <c r="P99" s="184">
        <v>1500000</v>
      </c>
      <c r="Q99" s="184" t="s">
        <v>463</v>
      </c>
      <c r="R99" s="184" t="s">
        <v>556</v>
      </c>
      <c r="S99" s="184">
        <v>122</v>
      </c>
      <c r="T99" s="184">
        <v>48201510900</v>
      </c>
    </row>
    <row r="100" spans="1:20" s="184" customFormat="1">
      <c r="A100" s="184">
        <v>18255</v>
      </c>
      <c r="B100" s="184" t="s">
        <v>557</v>
      </c>
      <c r="C100" s="184" t="s">
        <v>558</v>
      </c>
      <c r="D100" s="184" t="s">
        <v>559</v>
      </c>
      <c r="E100" s="184">
        <v>78550</v>
      </c>
      <c r="F100" s="184" t="s">
        <v>471</v>
      </c>
      <c r="G100" s="184">
        <v>11</v>
      </c>
      <c r="H100" s="184" t="s">
        <v>14</v>
      </c>
      <c r="L100" s="184" t="s">
        <v>163</v>
      </c>
      <c r="M100" s="184" t="s">
        <v>178</v>
      </c>
      <c r="P100" s="184">
        <v>803000</v>
      </c>
      <c r="Q100" s="184" t="s">
        <v>520</v>
      </c>
      <c r="R100" s="184" t="s">
        <v>521</v>
      </c>
      <c r="S100" s="184">
        <v>120</v>
      </c>
      <c r="T100" s="184">
        <v>48061011302</v>
      </c>
    </row>
    <row r="101" spans="1:20" s="184" customFormat="1">
      <c r="A101" s="184">
        <v>18259</v>
      </c>
      <c r="B101" s="184" t="s">
        <v>560</v>
      </c>
      <c r="C101" s="184" t="s">
        <v>561</v>
      </c>
      <c r="D101" s="184" t="s">
        <v>562</v>
      </c>
      <c r="E101" s="184">
        <v>76823</v>
      </c>
      <c r="F101" s="184" t="s">
        <v>563</v>
      </c>
      <c r="G101" s="184">
        <v>2</v>
      </c>
      <c r="H101" s="184" t="s">
        <v>6</v>
      </c>
      <c r="L101" s="184" t="s">
        <v>163</v>
      </c>
      <c r="M101" s="184" t="s">
        <v>178</v>
      </c>
      <c r="P101" s="184">
        <v>500000</v>
      </c>
      <c r="Q101" s="184" t="s">
        <v>564</v>
      </c>
      <c r="R101" s="184" t="s">
        <v>565</v>
      </c>
      <c r="S101" s="184">
        <v>120</v>
      </c>
      <c r="T101" s="184">
        <v>48049950500</v>
      </c>
    </row>
    <row r="102" spans="1:20" s="184" customFormat="1">
      <c r="A102" s="184">
        <v>18260</v>
      </c>
      <c r="B102" s="184" t="s">
        <v>566</v>
      </c>
      <c r="C102" s="184" t="s">
        <v>567</v>
      </c>
      <c r="D102" s="184" t="s">
        <v>568</v>
      </c>
      <c r="E102" s="184">
        <v>77954</v>
      </c>
      <c r="F102" s="184" t="s">
        <v>569</v>
      </c>
      <c r="G102" s="184">
        <v>10</v>
      </c>
      <c r="H102" s="184" t="s">
        <v>6</v>
      </c>
      <c r="L102" s="184" t="s">
        <v>163</v>
      </c>
      <c r="M102" s="184" t="s">
        <v>164</v>
      </c>
      <c r="P102" s="184">
        <v>584842</v>
      </c>
      <c r="Q102" s="184" t="s">
        <v>570</v>
      </c>
      <c r="R102" s="184" t="s">
        <v>571</v>
      </c>
      <c r="S102" s="184">
        <v>120</v>
      </c>
      <c r="T102" s="184">
        <v>48123970400</v>
      </c>
    </row>
    <row r="103" spans="1:20" s="184" customFormat="1">
      <c r="A103" s="184">
        <v>18261</v>
      </c>
      <c r="B103" s="184" t="s">
        <v>572</v>
      </c>
      <c r="C103" s="184" t="s">
        <v>573</v>
      </c>
      <c r="D103" s="184" t="s">
        <v>574</v>
      </c>
      <c r="E103" s="184">
        <v>78374</v>
      </c>
      <c r="F103" s="184" t="s">
        <v>327</v>
      </c>
      <c r="G103" s="184">
        <v>10</v>
      </c>
      <c r="H103" s="184" t="s">
        <v>14</v>
      </c>
      <c r="L103" s="184" t="s">
        <v>163</v>
      </c>
      <c r="M103" s="184" t="s">
        <v>164</v>
      </c>
      <c r="P103" s="184">
        <v>762700</v>
      </c>
      <c r="Q103" s="184" t="s">
        <v>570</v>
      </c>
      <c r="R103" s="184" t="s">
        <v>571</v>
      </c>
      <c r="S103" s="184">
        <v>120</v>
      </c>
      <c r="T103" s="184">
        <v>48409010601</v>
      </c>
    </row>
    <row r="104" spans="1:20" s="184" customFormat="1">
      <c r="A104" s="184">
        <v>18267</v>
      </c>
      <c r="B104" s="184" t="s">
        <v>575</v>
      </c>
      <c r="C104" s="184" t="s">
        <v>576</v>
      </c>
      <c r="D104" s="184" t="s">
        <v>577</v>
      </c>
      <c r="E104" s="184">
        <v>76105</v>
      </c>
      <c r="F104" s="184" t="s">
        <v>288</v>
      </c>
      <c r="G104" s="184">
        <v>3</v>
      </c>
      <c r="H104" s="184" t="s">
        <v>14</v>
      </c>
      <c r="L104" s="184" t="s">
        <v>163</v>
      </c>
      <c r="M104" s="184" t="s">
        <v>178</v>
      </c>
      <c r="P104" s="184">
        <v>0</v>
      </c>
      <c r="Q104" s="184" t="s">
        <v>193</v>
      </c>
      <c r="R104" s="184" t="s">
        <v>216</v>
      </c>
      <c r="S104" s="184">
        <v>108</v>
      </c>
      <c r="T104" s="184">
        <v>48439103500</v>
      </c>
    </row>
    <row r="105" spans="1:20" s="184" customFormat="1">
      <c r="A105" s="184">
        <v>18268</v>
      </c>
      <c r="B105" s="184" t="s">
        <v>578</v>
      </c>
      <c r="C105" s="184" t="s">
        <v>579</v>
      </c>
      <c r="D105" s="184" t="s">
        <v>580</v>
      </c>
      <c r="E105" s="184">
        <v>75703</v>
      </c>
      <c r="F105" s="184" t="s">
        <v>581</v>
      </c>
      <c r="G105" s="184">
        <v>4</v>
      </c>
      <c r="H105" s="184" t="s">
        <v>6</v>
      </c>
      <c r="J105" s="184" t="s">
        <v>162</v>
      </c>
      <c r="L105" s="184" t="s">
        <v>163</v>
      </c>
      <c r="M105" s="184" t="s">
        <v>164</v>
      </c>
      <c r="P105" s="184">
        <v>680462</v>
      </c>
      <c r="Q105" s="184" t="s">
        <v>709</v>
      </c>
      <c r="R105" s="184" t="s">
        <v>216</v>
      </c>
      <c r="S105" s="184">
        <v>120</v>
      </c>
      <c r="T105" s="184">
        <v>48423001906</v>
      </c>
    </row>
    <row r="106" spans="1:20" s="184" customFormat="1">
      <c r="A106" s="184">
        <v>18273</v>
      </c>
      <c r="B106" s="184" t="s">
        <v>582</v>
      </c>
      <c r="C106" s="184" t="s">
        <v>583</v>
      </c>
      <c r="D106" s="184" t="s">
        <v>154</v>
      </c>
      <c r="E106" s="184">
        <v>78215</v>
      </c>
      <c r="F106" s="184" t="s">
        <v>339</v>
      </c>
      <c r="G106" s="184">
        <v>9</v>
      </c>
      <c r="H106" s="184" t="s">
        <v>14</v>
      </c>
      <c r="J106" s="184" t="s">
        <v>162</v>
      </c>
      <c r="L106" s="184" t="s">
        <v>163</v>
      </c>
      <c r="M106" s="184" t="s">
        <v>178</v>
      </c>
      <c r="P106" s="184">
        <v>1182642</v>
      </c>
      <c r="Q106" s="184" t="s">
        <v>584</v>
      </c>
      <c r="R106" s="184" t="s">
        <v>585</v>
      </c>
      <c r="S106" s="184">
        <v>120</v>
      </c>
      <c r="T106" s="184">
        <v>48029110900</v>
      </c>
    </row>
    <row r="107" spans="1:20" s="184" customFormat="1">
      <c r="A107" s="184">
        <v>18274</v>
      </c>
      <c r="B107" s="184" t="s">
        <v>586</v>
      </c>
      <c r="C107" s="184" t="s">
        <v>587</v>
      </c>
      <c r="D107" s="184" t="s">
        <v>349</v>
      </c>
      <c r="E107" s="184">
        <v>76048</v>
      </c>
      <c r="F107" s="184" t="s">
        <v>350</v>
      </c>
      <c r="G107" s="184">
        <v>3</v>
      </c>
      <c r="H107" s="184" t="s">
        <v>6</v>
      </c>
      <c r="L107" s="184" t="s">
        <v>163</v>
      </c>
      <c r="M107" s="184" t="s">
        <v>164</v>
      </c>
      <c r="P107" s="184">
        <v>570000</v>
      </c>
      <c r="Q107" s="184" t="s">
        <v>520</v>
      </c>
      <c r="R107" s="184" t="s">
        <v>521</v>
      </c>
      <c r="S107" s="184">
        <v>120</v>
      </c>
      <c r="T107" s="184">
        <v>48221160206</v>
      </c>
    </row>
    <row r="108" spans="1:20" s="184" customFormat="1">
      <c r="A108" s="184">
        <v>18283</v>
      </c>
      <c r="B108" s="184" t="s">
        <v>588</v>
      </c>
      <c r="C108" s="184" t="s">
        <v>589</v>
      </c>
      <c r="D108" s="184" t="s">
        <v>590</v>
      </c>
      <c r="E108" s="184">
        <v>77625</v>
      </c>
      <c r="F108" s="184" t="s">
        <v>544</v>
      </c>
      <c r="G108" s="184">
        <v>5</v>
      </c>
      <c r="H108" s="184" t="s">
        <v>6</v>
      </c>
      <c r="J108" s="184" t="s">
        <v>162</v>
      </c>
      <c r="L108" s="184" t="s">
        <v>163</v>
      </c>
      <c r="M108" s="184" t="s">
        <v>178</v>
      </c>
      <c r="P108" s="184">
        <v>979220</v>
      </c>
      <c r="Q108" s="184" t="s">
        <v>591</v>
      </c>
      <c r="R108" s="184" t="s">
        <v>388</v>
      </c>
      <c r="S108" s="184">
        <v>113</v>
      </c>
      <c r="T108" s="184">
        <v>48199030400</v>
      </c>
    </row>
    <row r="109" spans="1:20" s="184" customFormat="1">
      <c r="A109" s="184">
        <v>18288</v>
      </c>
      <c r="B109" s="184" t="s">
        <v>592</v>
      </c>
      <c r="C109" s="184" t="s">
        <v>593</v>
      </c>
      <c r="D109" s="184" t="s">
        <v>155</v>
      </c>
      <c r="E109" s="184">
        <v>78417</v>
      </c>
      <c r="F109" s="184" t="s">
        <v>594</v>
      </c>
      <c r="G109" s="184">
        <v>10</v>
      </c>
      <c r="H109" s="184" t="s">
        <v>14</v>
      </c>
      <c r="J109" s="184" t="s">
        <v>162</v>
      </c>
      <c r="L109" s="184" t="s">
        <v>163</v>
      </c>
      <c r="M109" s="184" t="s">
        <v>178</v>
      </c>
      <c r="P109" s="184">
        <v>1291158</v>
      </c>
      <c r="Q109" s="184" t="s">
        <v>595</v>
      </c>
      <c r="R109" s="184" t="s">
        <v>596</v>
      </c>
      <c r="S109" s="184">
        <v>120</v>
      </c>
      <c r="T109" s="184">
        <v>48355001802</v>
      </c>
    </row>
    <row r="110" spans="1:20" s="184" customFormat="1">
      <c r="A110" s="184">
        <v>18289</v>
      </c>
      <c r="B110" s="184" t="s">
        <v>597</v>
      </c>
      <c r="C110" s="184" t="s">
        <v>598</v>
      </c>
      <c r="D110" s="184" t="s">
        <v>154</v>
      </c>
      <c r="E110" s="184">
        <v>78210</v>
      </c>
      <c r="F110" s="184" t="s">
        <v>599</v>
      </c>
      <c r="G110" s="184">
        <v>9</v>
      </c>
      <c r="H110" s="184" t="s">
        <v>14</v>
      </c>
      <c r="J110" s="184" t="s">
        <v>162</v>
      </c>
      <c r="L110" s="184" t="s">
        <v>163</v>
      </c>
      <c r="M110" s="184" t="s">
        <v>178</v>
      </c>
      <c r="P110" s="184">
        <v>975000</v>
      </c>
      <c r="Q110" s="184" t="s">
        <v>595</v>
      </c>
      <c r="R110" s="184" t="s">
        <v>596</v>
      </c>
      <c r="S110" s="184">
        <v>118</v>
      </c>
      <c r="T110" s="184">
        <v>48029140300</v>
      </c>
    </row>
    <row r="111" spans="1:20" s="184" customFormat="1">
      <c r="A111" s="184">
        <v>18293</v>
      </c>
      <c r="B111" s="184" t="s">
        <v>600</v>
      </c>
      <c r="C111" s="184" t="s">
        <v>601</v>
      </c>
      <c r="D111" s="184" t="s">
        <v>441</v>
      </c>
      <c r="E111" s="184">
        <v>78572</v>
      </c>
      <c r="F111" s="184" t="s">
        <v>442</v>
      </c>
      <c r="G111" s="184">
        <v>11</v>
      </c>
      <c r="H111" s="184" t="s">
        <v>14</v>
      </c>
      <c r="L111" s="184" t="s">
        <v>163</v>
      </c>
      <c r="M111" s="184" t="s">
        <v>178</v>
      </c>
      <c r="P111" s="184">
        <v>1500000</v>
      </c>
      <c r="Q111" s="184" t="s">
        <v>602</v>
      </c>
      <c r="R111" s="184" t="s">
        <v>603</v>
      </c>
      <c r="S111" s="184">
        <v>120</v>
      </c>
      <c r="T111" s="184">
        <v>48215024205</v>
      </c>
    </row>
    <row r="112" spans="1:20" s="184" customFormat="1">
      <c r="A112" s="184">
        <v>18294</v>
      </c>
      <c r="B112" s="184" t="s">
        <v>604</v>
      </c>
      <c r="C112" s="184" t="s">
        <v>605</v>
      </c>
      <c r="D112" s="184" t="s">
        <v>441</v>
      </c>
      <c r="E112" s="184">
        <v>78572</v>
      </c>
      <c r="F112" s="184" t="s">
        <v>442</v>
      </c>
      <c r="G112" s="184">
        <v>11</v>
      </c>
      <c r="H112" s="184" t="s">
        <v>14</v>
      </c>
      <c r="L112" s="184" t="s">
        <v>163</v>
      </c>
      <c r="M112" s="184" t="s">
        <v>164</v>
      </c>
      <c r="P112" s="184">
        <v>0</v>
      </c>
      <c r="Q112" s="184" t="s">
        <v>602</v>
      </c>
      <c r="R112" s="184" t="s">
        <v>603</v>
      </c>
      <c r="S112" s="184">
        <v>120</v>
      </c>
      <c r="T112" s="184">
        <v>48215024205</v>
      </c>
    </row>
    <row r="113" spans="1:20" s="184" customFormat="1">
      <c r="A113" s="184">
        <v>18305</v>
      </c>
      <c r="B113" s="184" t="s">
        <v>606</v>
      </c>
      <c r="C113" s="184" t="s">
        <v>607</v>
      </c>
      <c r="D113" s="184" t="s">
        <v>608</v>
      </c>
      <c r="E113" s="184">
        <v>77356</v>
      </c>
      <c r="F113" s="184" t="s">
        <v>608</v>
      </c>
      <c r="G113" s="184">
        <v>6</v>
      </c>
      <c r="H113" s="184" t="s">
        <v>6</v>
      </c>
      <c r="L113" s="184" t="s">
        <v>163</v>
      </c>
      <c r="M113" s="184" t="s">
        <v>164</v>
      </c>
      <c r="P113" s="184">
        <v>613529</v>
      </c>
      <c r="Q113" s="184" t="s">
        <v>609</v>
      </c>
      <c r="R113" s="184" t="s">
        <v>610</v>
      </c>
      <c r="S113" s="184">
        <v>118</v>
      </c>
      <c r="T113" s="184">
        <v>48339694600</v>
      </c>
    </row>
    <row r="114" spans="1:20" s="184" customFormat="1">
      <c r="A114" s="184">
        <v>18306</v>
      </c>
      <c r="B114" s="184" t="s">
        <v>611</v>
      </c>
      <c r="C114" s="184" t="s">
        <v>612</v>
      </c>
      <c r="D114" s="184" t="s">
        <v>11</v>
      </c>
      <c r="E114" s="184">
        <v>77003</v>
      </c>
      <c r="F114" s="184" t="s">
        <v>299</v>
      </c>
      <c r="G114" s="184">
        <v>6</v>
      </c>
      <c r="H114" s="184" t="s">
        <v>14</v>
      </c>
      <c r="L114" s="184" t="s">
        <v>163</v>
      </c>
      <c r="M114" s="184" t="s">
        <v>164</v>
      </c>
      <c r="P114" s="184">
        <v>1500000</v>
      </c>
      <c r="Q114" s="184" t="s">
        <v>613</v>
      </c>
      <c r="R114" s="184" t="s">
        <v>614</v>
      </c>
      <c r="S114" s="184">
        <v>116</v>
      </c>
      <c r="T114" s="184">
        <v>48201310100</v>
      </c>
    </row>
    <row r="115" spans="1:20" s="184" customFormat="1">
      <c r="A115" s="184">
        <v>18309</v>
      </c>
      <c r="B115" s="184" t="s">
        <v>615</v>
      </c>
      <c r="C115" s="184" t="s">
        <v>616</v>
      </c>
      <c r="D115" s="184" t="s">
        <v>617</v>
      </c>
      <c r="E115" s="184">
        <v>76086</v>
      </c>
      <c r="F115" s="184" t="s">
        <v>618</v>
      </c>
      <c r="G115" s="184">
        <v>3</v>
      </c>
      <c r="H115" s="184" t="s">
        <v>14</v>
      </c>
      <c r="L115" s="184" t="s">
        <v>163</v>
      </c>
      <c r="M115" s="184" t="s">
        <v>178</v>
      </c>
      <c r="P115" s="184">
        <v>0</v>
      </c>
      <c r="Q115" s="184" t="s">
        <v>237</v>
      </c>
      <c r="R115" s="184" t="s">
        <v>233</v>
      </c>
      <c r="S115" s="184">
        <v>119</v>
      </c>
      <c r="T115" s="184">
        <v>48367140200</v>
      </c>
    </row>
    <row r="116" spans="1:20" s="184" customFormat="1">
      <c r="A116" s="184">
        <v>18320</v>
      </c>
      <c r="B116" s="184" t="s">
        <v>619</v>
      </c>
      <c r="C116" s="184" t="s">
        <v>620</v>
      </c>
      <c r="D116" s="184" t="s">
        <v>621</v>
      </c>
      <c r="E116" s="184">
        <v>77586</v>
      </c>
      <c r="F116" s="184" t="s">
        <v>299</v>
      </c>
      <c r="G116" s="184">
        <v>6</v>
      </c>
      <c r="H116" s="184" t="s">
        <v>14</v>
      </c>
      <c r="L116" s="184" t="s">
        <v>163</v>
      </c>
      <c r="M116" s="184" t="s">
        <v>164</v>
      </c>
      <c r="P116" s="184">
        <v>0</v>
      </c>
      <c r="Q116" s="184" t="s">
        <v>622</v>
      </c>
      <c r="R116" s="184" t="s">
        <v>623</v>
      </c>
      <c r="S116" s="184">
        <v>120</v>
      </c>
      <c r="T116" s="184">
        <v>48201341502</v>
      </c>
    </row>
    <row r="117" spans="1:20" s="184" customFormat="1">
      <c r="A117" s="184">
        <v>18322</v>
      </c>
      <c r="B117" s="184" t="s">
        <v>624</v>
      </c>
      <c r="C117" s="184" t="s">
        <v>625</v>
      </c>
      <c r="D117" s="184" t="s">
        <v>626</v>
      </c>
      <c r="E117" s="184">
        <v>78593</v>
      </c>
      <c r="F117" s="184" t="s">
        <v>471</v>
      </c>
      <c r="G117" s="184">
        <v>11</v>
      </c>
      <c r="H117" s="184" t="s">
        <v>6</v>
      </c>
      <c r="J117" s="184" t="s">
        <v>162</v>
      </c>
      <c r="L117" s="184" t="s">
        <v>163</v>
      </c>
      <c r="M117" s="184" t="s">
        <v>178</v>
      </c>
      <c r="N117" s="184">
        <v>1600000</v>
      </c>
      <c r="P117" s="184">
        <v>679000</v>
      </c>
      <c r="Q117" s="184" t="s">
        <v>533</v>
      </c>
      <c r="R117" s="184" t="s">
        <v>532</v>
      </c>
      <c r="S117" s="184">
        <v>110</v>
      </c>
      <c r="T117" s="184">
        <v>48061010301</v>
      </c>
    </row>
    <row r="118" spans="1:20" s="184" customFormat="1">
      <c r="A118" s="184">
        <v>18323</v>
      </c>
      <c r="B118" s="184" t="s">
        <v>627</v>
      </c>
      <c r="C118" s="184" t="s">
        <v>628</v>
      </c>
      <c r="D118" s="184" t="s">
        <v>281</v>
      </c>
      <c r="E118" s="184">
        <v>78702</v>
      </c>
      <c r="F118" s="184" t="s">
        <v>282</v>
      </c>
      <c r="G118" s="184">
        <v>7</v>
      </c>
      <c r="H118" s="184" t="s">
        <v>14</v>
      </c>
      <c r="L118" s="184" t="s">
        <v>163</v>
      </c>
      <c r="M118" s="184" t="s">
        <v>178</v>
      </c>
      <c r="P118" s="184">
        <v>1295300</v>
      </c>
      <c r="Q118" s="184" t="s">
        <v>257</v>
      </c>
      <c r="R118" s="184" t="s">
        <v>258</v>
      </c>
      <c r="S118" s="184">
        <v>115</v>
      </c>
      <c r="T118" s="184">
        <v>48453000902</v>
      </c>
    </row>
    <row r="119" spans="1:20" s="184" customFormat="1">
      <c r="A119" s="184">
        <v>18327</v>
      </c>
      <c r="B119" s="184" t="s">
        <v>629</v>
      </c>
      <c r="C119" s="184" t="s">
        <v>630</v>
      </c>
      <c r="D119" s="184" t="s">
        <v>11</v>
      </c>
      <c r="E119" s="184">
        <v>77003</v>
      </c>
      <c r="F119" s="184" t="s">
        <v>299</v>
      </c>
      <c r="G119" s="184">
        <v>6</v>
      </c>
      <c r="H119" s="184" t="s">
        <v>14</v>
      </c>
      <c r="L119" s="184" t="s">
        <v>163</v>
      </c>
      <c r="M119" s="184" t="s">
        <v>178</v>
      </c>
      <c r="P119" s="184">
        <v>0</v>
      </c>
      <c r="Q119" s="184" t="s">
        <v>622</v>
      </c>
      <c r="R119" s="184" t="s">
        <v>623</v>
      </c>
      <c r="S119" s="184">
        <v>122</v>
      </c>
      <c r="T119" s="184">
        <v>48201310200</v>
      </c>
    </row>
    <row r="120" spans="1:20" s="184" customFormat="1">
      <c r="A120" s="184">
        <v>18331</v>
      </c>
      <c r="B120" s="184" t="s">
        <v>631</v>
      </c>
      <c r="C120" s="184" t="s">
        <v>632</v>
      </c>
      <c r="D120" s="184" t="s">
        <v>11</v>
      </c>
      <c r="E120" s="184">
        <v>77083</v>
      </c>
      <c r="F120" s="184" t="s">
        <v>262</v>
      </c>
      <c r="G120" s="184">
        <v>6</v>
      </c>
      <c r="H120" s="184" t="s">
        <v>14</v>
      </c>
      <c r="L120" s="184" t="s">
        <v>163</v>
      </c>
      <c r="M120" s="184" t="s">
        <v>178</v>
      </c>
      <c r="P120" s="184">
        <v>0</v>
      </c>
      <c r="Q120" s="184" t="s">
        <v>613</v>
      </c>
      <c r="R120" s="184" t="s">
        <v>614</v>
      </c>
      <c r="S120" s="184">
        <v>120</v>
      </c>
      <c r="T120" s="184">
        <v>48157672601</v>
      </c>
    </row>
    <row r="121" spans="1:20" s="184" customFormat="1">
      <c r="A121" s="184">
        <v>18333</v>
      </c>
      <c r="B121" s="184" t="s">
        <v>633</v>
      </c>
      <c r="C121" s="184" t="s">
        <v>634</v>
      </c>
      <c r="D121" s="184" t="s">
        <v>11</v>
      </c>
      <c r="E121" s="184">
        <v>77009</v>
      </c>
      <c r="F121" s="184" t="s">
        <v>299</v>
      </c>
      <c r="G121" s="184">
        <v>6</v>
      </c>
      <c r="H121" s="184" t="s">
        <v>14</v>
      </c>
      <c r="L121" s="184" t="s">
        <v>163</v>
      </c>
      <c r="M121" s="184" t="s">
        <v>178</v>
      </c>
      <c r="P121" s="553">
        <v>1459229.803964287</v>
      </c>
      <c r="Q121" s="184" t="s">
        <v>622</v>
      </c>
      <c r="R121" s="184" t="s">
        <v>623</v>
      </c>
      <c r="S121" s="184">
        <v>118</v>
      </c>
      <c r="T121" s="184">
        <v>48201210600</v>
      </c>
    </row>
    <row r="122" spans="1:20" s="184" customFormat="1">
      <c r="A122" s="184">
        <v>18335</v>
      </c>
      <c r="B122" s="184" t="s">
        <v>635</v>
      </c>
      <c r="C122" s="184" t="s">
        <v>636</v>
      </c>
      <c r="D122" s="184" t="s">
        <v>281</v>
      </c>
      <c r="E122" s="184">
        <v>78751</v>
      </c>
      <c r="F122" s="184" t="s">
        <v>282</v>
      </c>
      <c r="G122" s="184">
        <v>7</v>
      </c>
      <c r="H122" s="184" t="s">
        <v>14</v>
      </c>
      <c r="J122" s="184" t="s">
        <v>162</v>
      </c>
      <c r="L122" s="184" t="s">
        <v>163</v>
      </c>
      <c r="M122" s="184" t="s">
        <v>178</v>
      </c>
      <c r="N122" s="184">
        <v>3000000</v>
      </c>
      <c r="P122" s="184">
        <v>1500000</v>
      </c>
      <c r="Q122" s="184" t="s">
        <v>637</v>
      </c>
      <c r="R122" s="184" t="s">
        <v>257</v>
      </c>
      <c r="S122" s="184">
        <v>115</v>
      </c>
      <c r="T122" s="184">
        <v>48453002105</v>
      </c>
    </row>
    <row r="123" spans="1:20" s="184" customFormat="1">
      <c r="A123" s="184">
        <v>18337</v>
      </c>
      <c r="B123" s="184" t="s">
        <v>638</v>
      </c>
      <c r="C123" s="184" t="s">
        <v>639</v>
      </c>
      <c r="D123" s="184" t="s">
        <v>11</v>
      </c>
      <c r="E123" s="184">
        <v>77009</v>
      </c>
      <c r="F123" s="184" t="s">
        <v>299</v>
      </c>
      <c r="G123" s="184">
        <v>6</v>
      </c>
      <c r="H123" s="184" t="s">
        <v>14</v>
      </c>
      <c r="L123" s="184" t="s">
        <v>163</v>
      </c>
      <c r="M123" s="184" t="s">
        <v>178</v>
      </c>
      <c r="P123" s="184">
        <v>0</v>
      </c>
      <c r="Q123" s="184" t="s">
        <v>591</v>
      </c>
      <c r="R123" s="184" t="s">
        <v>388</v>
      </c>
      <c r="S123" s="184">
        <v>118</v>
      </c>
      <c r="T123" s="184">
        <v>48201210600</v>
      </c>
    </row>
    <row r="124" spans="1:20" s="184" customFormat="1">
      <c r="A124" s="184">
        <v>18338</v>
      </c>
      <c r="B124" s="184" t="s">
        <v>640</v>
      </c>
      <c r="C124" s="184" t="s">
        <v>641</v>
      </c>
      <c r="D124" s="184" t="s">
        <v>11</v>
      </c>
      <c r="E124" s="184">
        <v>77060</v>
      </c>
      <c r="F124" s="184" t="s">
        <v>299</v>
      </c>
      <c r="G124" s="184">
        <v>6</v>
      </c>
      <c r="H124" s="184" t="s">
        <v>14</v>
      </c>
      <c r="L124" s="184" t="s">
        <v>163</v>
      </c>
      <c r="M124" s="184" t="s">
        <v>178</v>
      </c>
      <c r="P124" s="184">
        <v>1500000</v>
      </c>
      <c r="Q124" s="184" t="s">
        <v>642</v>
      </c>
      <c r="R124" s="184" t="s">
        <v>637</v>
      </c>
      <c r="S124" s="184">
        <v>113</v>
      </c>
      <c r="T124" s="184">
        <v>48201240600</v>
      </c>
    </row>
    <row r="125" spans="1:20" s="184" customFormat="1">
      <c r="A125" s="184">
        <v>18339</v>
      </c>
      <c r="B125" s="184" t="s">
        <v>643</v>
      </c>
      <c r="C125" s="184" t="s">
        <v>644</v>
      </c>
      <c r="D125" s="184" t="s">
        <v>645</v>
      </c>
      <c r="E125" s="184">
        <v>77505</v>
      </c>
      <c r="F125" s="184" t="s">
        <v>299</v>
      </c>
      <c r="G125" s="184">
        <v>6</v>
      </c>
      <c r="H125" s="184" t="s">
        <v>14</v>
      </c>
      <c r="J125" s="184" t="s">
        <v>162</v>
      </c>
      <c r="L125" s="184" t="s">
        <v>163</v>
      </c>
      <c r="M125" s="184" t="s">
        <v>164</v>
      </c>
      <c r="P125" s="184">
        <v>1499877</v>
      </c>
      <c r="Q125" s="184" t="s">
        <v>646</v>
      </c>
      <c r="R125" s="184" t="s">
        <v>647</v>
      </c>
      <c r="S125" s="184">
        <v>120</v>
      </c>
      <c r="T125" s="184">
        <v>48201342100</v>
      </c>
    </row>
    <row r="126" spans="1:20" s="184" customFormat="1">
      <c r="A126" s="184">
        <v>18345</v>
      </c>
      <c r="B126" s="184" t="s">
        <v>648</v>
      </c>
      <c r="C126" s="184" t="s">
        <v>649</v>
      </c>
      <c r="D126" s="184" t="s">
        <v>650</v>
      </c>
      <c r="E126" s="184">
        <v>79714</v>
      </c>
      <c r="F126" s="184" t="s">
        <v>650</v>
      </c>
      <c r="G126" s="184">
        <v>12</v>
      </c>
      <c r="H126" s="184" t="s">
        <v>6</v>
      </c>
      <c r="L126" s="184" t="s">
        <v>163</v>
      </c>
      <c r="M126" s="184" t="s">
        <v>178</v>
      </c>
      <c r="P126" s="184">
        <v>500000</v>
      </c>
      <c r="Q126" s="184" t="s">
        <v>651</v>
      </c>
      <c r="R126" s="184" t="s">
        <v>652</v>
      </c>
      <c r="S126" s="184">
        <v>110</v>
      </c>
      <c r="T126" s="184">
        <v>48003950100</v>
      </c>
    </row>
    <row r="127" spans="1:20" s="184" customFormat="1">
      <c r="A127" s="184">
        <v>18347</v>
      </c>
      <c r="B127" s="184" t="s">
        <v>653</v>
      </c>
      <c r="C127" s="184" t="s">
        <v>654</v>
      </c>
      <c r="D127" s="184" t="s">
        <v>650</v>
      </c>
      <c r="E127" s="184">
        <v>79714</v>
      </c>
      <c r="F127" s="184" t="s">
        <v>650</v>
      </c>
      <c r="G127" s="184">
        <v>12</v>
      </c>
      <c r="H127" s="184" t="s">
        <v>6</v>
      </c>
      <c r="L127" s="184" t="s">
        <v>163</v>
      </c>
      <c r="M127" s="184" t="s">
        <v>178</v>
      </c>
      <c r="P127" s="184">
        <v>750000</v>
      </c>
      <c r="Q127" s="184" t="s">
        <v>655</v>
      </c>
      <c r="R127" s="184" t="s">
        <v>233</v>
      </c>
      <c r="S127" s="184">
        <v>108</v>
      </c>
      <c r="T127" s="184">
        <v>48003950300</v>
      </c>
    </row>
    <row r="128" spans="1:20" s="184" customFormat="1">
      <c r="A128" s="184">
        <v>18353</v>
      </c>
      <c r="B128" s="184" t="s">
        <v>656</v>
      </c>
      <c r="C128" s="184" t="s">
        <v>657</v>
      </c>
      <c r="D128" s="184" t="s">
        <v>658</v>
      </c>
      <c r="E128" s="184">
        <v>77356</v>
      </c>
      <c r="F128" s="184" t="s">
        <v>659</v>
      </c>
      <c r="G128" s="184">
        <v>6</v>
      </c>
      <c r="H128" s="184" t="s">
        <v>6</v>
      </c>
      <c r="J128" s="184" t="s">
        <v>162</v>
      </c>
      <c r="L128" s="184" t="s">
        <v>163</v>
      </c>
      <c r="M128" s="184" t="s">
        <v>164</v>
      </c>
      <c r="P128" s="184">
        <v>750000</v>
      </c>
      <c r="Q128" s="184" t="s">
        <v>646</v>
      </c>
      <c r="R128" s="184" t="s">
        <v>647</v>
      </c>
      <c r="S128" s="184">
        <v>116</v>
      </c>
      <c r="T128" s="184">
        <v>48339694500</v>
      </c>
    </row>
    <row r="129" spans="1:122" s="184" customFormat="1">
      <c r="A129" s="184">
        <v>18354</v>
      </c>
      <c r="B129" s="184" t="s">
        <v>660</v>
      </c>
      <c r="C129" s="184" t="s">
        <v>661</v>
      </c>
      <c r="D129" s="184" t="s">
        <v>11</v>
      </c>
      <c r="E129" s="184">
        <v>77040</v>
      </c>
      <c r="F129" s="184" t="s">
        <v>299</v>
      </c>
      <c r="G129" s="184">
        <v>6</v>
      </c>
      <c r="H129" s="184" t="s">
        <v>14</v>
      </c>
      <c r="J129" s="184" t="s">
        <v>162</v>
      </c>
      <c r="L129" s="184" t="s">
        <v>163</v>
      </c>
      <c r="M129" s="184" t="s">
        <v>178</v>
      </c>
      <c r="P129" s="184">
        <v>0</v>
      </c>
      <c r="Q129" s="184" t="s">
        <v>646</v>
      </c>
      <c r="R129" s="184" t="s">
        <v>647</v>
      </c>
      <c r="S129" s="184">
        <v>120</v>
      </c>
      <c r="T129" s="184">
        <v>48201532300</v>
      </c>
    </row>
    <row r="130" spans="1:122" s="184" customFormat="1">
      <c r="A130" s="184">
        <v>18355</v>
      </c>
      <c r="B130" s="184" t="s">
        <v>662</v>
      </c>
      <c r="C130" s="184" t="s">
        <v>663</v>
      </c>
      <c r="D130" s="184" t="s">
        <v>11</v>
      </c>
      <c r="E130" s="184">
        <v>77040</v>
      </c>
      <c r="F130" s="184" t="s">
        <v>299</v>
      </c>
      <c r="G130" s="184">
        <v>6</v>
      </c>
      <c r="H130" s="184" t="s">
        <v>14</v>
      </c>
      <c r="J130" s="184" t="s">
        <v>162</v>
      </c>
      <c r="L130" s="184" t="s">
        <v>163</v>
      </c>
      <c r="M130" s="184" t="s">
        <v>178</v>
      </c>
      <c r="P130" s="184">
        <v>1500000</v>
      </c>
      <c r="Q130" s="184" t="s">
        <v>646</v>
      </c>
      <c r="R130" s="184" t="s">
        <v>647</v>
      </c>
      <c r="S130" s="184">
        <v>120</v>
      </c>
      <c r="T130" s="184">
        <v>48201532300</v>
      </c>
    </row>
    <row r="131" spans="1:122" s="184" customFormat="1">
      <c r="A131" s="184">
        <v>18357</v>
      </c>
      <c r="B131" s="184" t="s">
        <v>664</v>
      </c>
      <c r="C131" s="184" t="s">
        <v>665</v>
      </c>
      <c r="D131" s="184" t="s">
        <v>666</v>
      </c>
      <c r="E131" s="184">
        <v>78575</v>
      </c>
      <c r="F131" s="184" t="s">
        <v>471</v>
      </c>
      <c r="G131" s="184">
        <v>11</v>
      </c>
      <c r="H131" s="184" t="s">
        <v>14</v>
      </c>
      <c r="L131" s="184" t="s">
        <v>163</v>
      </c>
      <c r="M131" s="184" t="s">
        <v>178</v>
      </c>
      <c r="P131" s="184">
        <v>1500000</v>
      </c>
      <c r="Q131" s="184" t="s">
        <v>667</v>
      </c>
      <c r="R131" s="184" t="s">
        <v>668</v>
      </c>
      <c r="S131" s="184">
        <v>120</v>
      </c>
      <c r="T131" s="184">
        <v>48061012506</v>
      </c>
    </row>
    <row r="132" spans="1:122" s="184" customFormat="1">
      <c r="A132" s="184">
        <v>18358</v>
      </c>
      <c r="B132" s="184" t="s">
        <v>696</v>
      </c>
      <c r="C132" s="184" t="s">
        <v>697</v>
      </c>
      <c r="D132" s="184" t="s">
        <v>470</v>
      </c>
      <c r="E132" s="184">
        <v>78575</v>
      </c>
      <c r="F132" s="184" t="s">
        <v>471</v>
      </c>
      <c r="G132" s="184">
        <v>11</v>
      </c>
      <c r="H132" s="184" t="s">
        <v>14</v>
      </c>
      <c r="L132" s="184" t="s">
        <v>163</v>
      </c>
      <c r="M132" s="184" t="s">
        <v>164</v>
      </c>
      <c r="P132" s="184">
        <v>1500000</v>
      </c>
      <c r="Q132" s="184" t="s">
        <v>667</v>
      </c>
      <c r="R132" s="184" t="s">
        <v>668</v>
      </c>
      <c r="S132" s="184">
        <v>120</v>
      </c>
      <c r="T132" s="184">
        <v>48061012506</v>
      </c>
    </row>
    <row r="133" spans="1:122" s="184" customFormat="1">
      <c r="A133" s="184">
        <v>18369</v>
      </c>
      <c r="B133" s="184" t="s">
        <v>669</v>
      </c>
      <c r="C133" s="184" t="s">
        <v>670</v>
      </c>
      <c r="D133" s="184" t="s">
        <v>671</v>
      </c>
      <c r="E133" s="184">
        <v>78133</v>
      </c>
      <c r="F133" s="184" t="s">
        <v>294</v>
      </c>
      <c r="G133" s="184">
        <v>9</v>
      </c>
      <c r="H133" s="184" t="s">
        <v>6</v>
      </c>
      <c r="L133" s="184" t="s">
        <v>163</v>
      </c>
      <c r="M133" s="184" t="s">
        <v>164</v>
      </c>
      <c r="N133" s="184">
        <v>1060000</v>
      </c>
      <c r="P133" s="184">
        <v>500000</v>
      </c>
      <c r="Q133" s="184" t="s">
        <v>232</v>
      </c>
      <c r="R133" s="184" t="s">
        <v>233</v>
      </c>
      <c r="S133" s="184">
        <v>120</v>
      </c>
      <c r="T133" s="184">
        <v>48091310607</v>
      </c>
    </row>
    <row r="134" spans="1:122" s="184" customFormat="1">
      <c r="A134" s="184">
        <v>18370</v>
      </c>
      <c r="B134" s="184" t="s">
        <v>672</v>
      </c>
      <c r="C134" s="184" t="s">
        <v>673</v>
      </c>
      <c r="D134" s="184" t="s">
        <v>674</v>
      </c>
      <c r="E134" s="184">
        <v>75601</v>
      </c>
      <c r="F134" s="184" t="s">
        <v>438</v>
      </c>
      <c r="G134" s="184">
        <v>4</v>
      </c>
      <c r="H134" s="184" t="s">
        <v>14</v>
      </c>
      <c r="L134" s="184" t="s">
        <v>163</v>
      </c>
      <c r="M134" s="184" t="s">
        <v>164</v>
      </c>
      <c r="P134" s="184">
        <v>573024</v>
      </c>
      <c r="Q134" s="184" t="s">
        <v>675</v>
      </c>
      <c r="R134" s="184" t="s">
        <v>233</v>
      </c>
      <c r="S134" s="184">
        <v>114</v>
      </c>
      <c r="T134" s="184">
        <v>48183001100</v>
      </c>
    </row>
    <row r="135" spans="1:122" s="184" customFormat="1">
      <c r="A135" s="184">
        <v>18371</v>
      </c>
      <c r="B135" s="184" t="s">
        <v>676</v>
      </c>
      <c r="C135" s="184" t="s">
        <v>677</v>
      </c>
      <c r="D135" s="184" t="s">
        <v>678</v>
      </c>
      <c r="E135" s="184">
        <v>75941</v>
      </c>
      <c r="F135" s="184" t="s">
        <v>679</v>
      </c>
      <c r="G135" s="184">
        <v>5</v>
      </c>
      <c r="H135" s="184" t="s">
        <v>6</v>
      </c>
      <c r="L135" s="184" t="s">
        <v>163</v>
      </c>
      <c r="M135" s="184" t="s">
        <v>178</v>
      </c>
      <c r="P135" s="184">
        <v>848813</v>
      </c>
      <c r="Q135" s="184" t="s">
        <v>680</v>
      </c>
      <c r="R135" s="184" t="s">
        <v>246</v>
      </c>
      <c r="S135" s="184">
        <v>120</v>
      </c>
      <c r="T135" s="184">
        <v>48005001002</v>
      </c>
    </row>
    <row r="136" spans="1:122" s="184" customFormat="1">
      <c r="A136" s="184">
        <v>18382</v>
      </c>
      <c r="B136" s="184" t="s">
        <v>681</v>
      </c>
      <c r="C136" s="184" t="s">
        <v>682</v>
      </c>
      <c r="D136" s="184" t="s">
        <v>11</v>
      </c>
      <c r="E136" s="184">
        <v>77498</v>
      </c>
      <c r="F136" s="184" t="s">
        <v>262</v>
      </c>
      <c r="G136" s="184">
        <v>6</v>
      </c>
      <c r="H136" s="184" t="s">
        <v>14</v>
      </c>
      <c r="L136" s="184" t="s">
        <v>163</v>
      </c>
      <c r="M136" s="184" t="s">
        <v>178</v>
      </c>
      <c r="P136" s="184">
        <v>1500000</v>
      </c>
      <c r="Q136" s="184" t="s">
        <v>683</v>
      </c>
      <c r="R136" s="184" t="s">
        <v>233</v>
      </c>
      <c r="S136" s="184">
        <v>120</v>
      </c>
      <c r="T136" s="184">
        <v>48157672400</v>
      </c>
    </row>
    <row r="137" spans="1:122" s="184" customFormat="1">
      <c r="A137" s="184">
        <v>18383</v>
      </c>
      <c r="B137" s="184" t="s">
        <v>684</v>
      </c>
      <c r="C137" s="184" t="s">
        <v>685</v>
      </c>
      <c r="D137" s="184" t="s">
        <v>11</v>
      </c>
      <c r="E137" s="184">
        <v>77049</v>
      </c>
      <c r="F137" s="184" t="s">
        <v>299</v>
      </c>
      <c r="G137" s="184">
        <v>6</v>
      </c>
      <c r="H137" s="184" t="s">
        <v>14</v>
      </c>
      <c r="L137" s="184" t="s">
        <v>163</v>
      </c>
      <c r="M137" s="184" t="s">
        <v>178</v>
      </c>
      <c r="P137" s="184">
        <v>1500000</v>
      </c>
      <c r="Q137" s="184" t="s">
        <v>683</v>
      </c>
      <c r="R137" s="184" t="s">
        <v>233</v>
      </c>
      <c r="S137" s="184">
        <v>120</v>
      </c>
      <c r="T137" s="184">
        <v>48201232401</v>
      </c>
    </row>
    <row r="138" spans="1:122" s="184" customFormat="1">
      <c r="A138" s="184">
        <v>18391</v>
      </c>
      <c r="B138" s="184" t="s">
        <v>686</v>
      </c>
      <c r="C138" s="184" t="s">
        <v>687</v>
      </c>
      <c r="D138" s="184" t="s">
        <v>688</v>
      </c>
      <c r="E138" s="184">
        <v>78653</v>
      </c>
      <c r="F138" s="184" t="s">
        <v>282</v>
      </c>
      <c r="G138" s="184">
        <v>7</v>
      </c>
      <c r="H138" s="184" t="s">
        <v>14</v>
      </c>
      <c r="J138" s="184" t="s">
        <v>162</v>
      </c>
      <c r="L138" s="184" t="s">
        <v>163</v>
      </c>
      <c r="M138" s="184" t="s">
        <v>164</v>
      </c>
      <c r="N138" s="184">
        <v>2000000</v>
      </c>
      <c r="O138" s="184">
        <v>50000</v>
      </c>
      <c r="P138" s="184">
        <v>0</v>
      </c>
      <c r="Q138" s="184" t="s">
        <v>689</v>
      </c>
      <c r="R138" s="184" t="s">
        <v>690</v>
      </c>
      <c r="S138" s="184">
        <v>120</v>
      </c>
      <c r="T138" s="184">
        <v>48453001856</v>
      </c>
    </row>
    <row r="139" spans="1:122">
      <c r="A139" s="184">
        <v>18398</v>
      </c>
      <c r="B139" t="s">
        <v>691</v>
      </c>
      <c r="C139" t="s">
        <v>692</v>
      </c>
      <c r="D139" t="s">
        <v>674</v>
      </c>
      <c r="E139">
        <v>75605</v>
      </c>
      <c r="F139" t="s">
        <v>446</v>
      </c>
      <c r="G139">
        <v>4</v>
      </c>
      <c r="H139" t="s">
        <v>14</v>
      </c>
      <c r="L139" t="s">
        <v>163</v>
      </c>
      <c r="M139" t="s">
        <v>164</v>
      </c>
      <c r="P139">
        <v>557602</v>
      </c>
      <c r="Q139" t="s">
        <v>675</v>
      </c>
      <c r="R139" t="s">
        <v>233</v>
      </c>
      <c r="S139">
        <v>120</v>
      </c>
      <c r="T139">
        <v>48203020606</v>
      </c>
      <c r="U139"/>
    </row>
    <row r="140" spans="1:122">
      <c r="A140" s="184">
        <v>18707</v>
      </c>
      <c r="B140" t="s">
        <v>693</v>
      </c>
      <c r="C140" t="s">
        <v>694</v>
      </c>
      <c r="D140" t="s">
        <v>271</v>
      </c>
      <c r="E140">
        <v>79927</v>
      </c>
      <c r="F140" t="s">
        <v>157</v>
      </c>
      <c r="G140">
        <v>13</v>
      </c>
      <c r="H140" t="s">
        <v>14</v>
      </c>
      <c r="L140" t="s">
        <v>163</v>
      </c>
      <c r="M140" t="s">
        <v>178</v>
      </c>
      <c r="P140">
        <v>1163300</v>
      </c>
      <c r="Q140" t="s">
        <v>267</v>
      </c>
      <c r="R140" t="s">
        <v>268</v>
      </c>
      <c r="S140">
        <v>95</v>
      </c>
      <c r="T140">
        <v>48141004002</v>
      </c>
      <c r="U140"/>
    </row>
    <row r="141" spans="1:122" s="540" customFormat="1" ht="15.75" customHeight="1">
      <c r="A141" s="545">
        <v>18708</v>
      </c>
      <c r="B141" s="531" t="s">
        <v>721</v>
      </c>
      <c r="C141" s="531" t="s">
        <v>722</v>
      </c>
      <c r="D141" s="531" t="s">
        <v>191</v>
      </c>
      <c r="E141" s="545">
        <v>75025</v>
      </c>
      <c r="F141" s="531" t="s">
        <v>172</v>
      </c>
      <c r="G141" s="545">
        <v>3</v>
      </c>
      <c r="H141" s="531" t="s">
        <v>14</v>
      </c>
      <c r="I141" s="531"/>
      <c r="J141" s="532"/>
      <c r="K141" s="532"/>
      <c r="L141" t="s">
        <v>163</v>
      </c>
      <c r="M141" s="531" t="s">
        <v>178</v>
      </c>
      <c r="N141" s="531"/>
      <c r="O141" s="531"/>
      <c r="P141" s="533">
        <v>474312</v>
      </c>
      <c r="Q141" s="531" t="s">
        <v>723</v>
      </c>
      <c r="R141" s="531" t="s">
        <v>192</v>
      </c>
      <c r="S141" s="540">
        <v>124</v>
      </c>
      <c r="T141" s="540" t="s">
        <v>724</v>
      </c>
      <c r="AI141" s="541" t="s">
        <v>725</v>
      </c>
      <c r="AJ141" s="541"/>
      <c r="AK141" s="541"/>
      <c r="AL141" s="542"/>
      <c r="AM141" s="543"/>
      <c r="AO141" s="544"/>
      <c r="AP141" s="544"/>
      <c r="AQ141" s="544"/>
      <c r="AR141" s="544"/>
      <c r="AS141" s="544"/>
      <c r="AT141" s="544"/>
      <c r="AU141" s="544"/>
      <c r="AV141" s="544"/>
      <c r="AW141" s="544"/>
      <c r="AX141" s="544"/>
      <c r="AY141" s="544"/>
      <c r="AZ141" s="544"/>
      <c r="BA141" s="544"/>
      <c r="BB141" s="544"/>
      <c r="BC141" s="544"/>
      <c r="BD141" s="544"/>
      <c r="BE141" s="544"/>
      <c r="BF141" s="544"/>
      <c r="BG141" s="544"/>
      <c r="BH141" s="544"/>
      <c r="BI141" s="544"/>
      <c r="BJ141" s="544"/>
      <c r="BK141" s="544"/>
      <c r="BL141" s="544"/>
      <c r="BM141" s="544"/>
      <c r="BN141" s="544"/>
      <c r="BO141" s="544"/>
      <c r="BP141" s="544"/>
      <c r="BQ141" s="544"/>
      <c r="BR141" s="544"/>
      <c r="BS141" s="544"/>
      <c r="BT141" s="544"/>
      <c r="BU141" s="544"/>
      <c r="BV141" s="544"/>
      <c r="BW141" s="544"/>
      <c r="BX141" s="544"/>
      <c r="BY141" s="544"/>
      <c r="BZ141" s="544"/>
      <c r="CA141" s="544"/>
      <c r="CB141" s="544"/>
      <c r="CC141" s="544"/>
      <c r="CD141" s="544"/>
      <c r="CE141" s="544"/>
      <c r="CF141" s="544"/>
      <c r="CG141" s="544"/>
      <c r="CH141" s="544"/>
      <c r="CI141" s="544"/>
      <c r="CJ141" s="544"/>
      <c r="CK141" s="544"/>
      <c r="CL141" s="544"/>
      <c r="CM141" s="544"/>
      <c r="CN141" s="544"/>
      <c r="CO141" s="544"/>
      <c r="CP141" s="544"/>
      <c r="CQ141" s="544"/>
      <c r="CR141" s="544"/>
      <c r="CS141" s="544"/>
      <c r="CT141" s="544"/>
      <c r="CU141" s="544"/>
      <c r="CV141" s="544"/>
      <c r="CW141" s="544"/>
      <c r="CX141" s="544"/>
      <c r="CY141" s="544"/>
      <c r="CZ141" s="544"/>
      <c r="DA141" s="544"/>
      <c r="DB141" s="544"/>
      <c r="DC141" s="544"/>
      <c r="DD141" s="544"/>
      <c r="DE141" s="544"/>
      <c r="DF141" s="544"/>
      <c r="DG141" s="544"/>
      <c r="DH141" s="544"/>
      <c r="DI141" s="544"/>
      <c r="DJ141" s="544"/>
      <c r="DK141" s="544"/>
      <c r="DL141" s="544"/>
      <c r="DM141" s="544"/>
      <c r="DN141" s="544"/>
      <c r="DO141" s="544"/>
      <c r="DP141" s="544"/>
      <c r="DQ141" s="544"/>
      <c r="DR141" s="544"/>
    </row>
    <row r="142" spans="1:122" s="343" customFormat="1" ht="15" customHeight="1">
      <c r="A142" s="345">
        <v>18709</v>
      </c>
      <c r="B142" s="537" t="s">
        <v>727</v>
      </c>
      <c r="C142" s="537" t="s">
        <v>728</v>
      </c>
      <c r="D142" s="537" t="s">
        <v>729</v>
      </c>
      <c r="E142" s="537">
        <v>78663</v>
      </c>
      <c r="F142" s="537" t="s">
        <v>730</v>
      </c>
      <c r="G142" s="546">
        <v>7</v>
      </c>
      <c r="H142" s="547" t="s">
        <v>14</v>
      </c>
      <c r="I142" s="538"/>
      <c r="J142" s="538"/>
      <c r="K142" s="547" t="s">
        <v>162</v>
      </c>
      <c r="L142" t="s">
        <v>163</v>
      </c>
      <c r="M142" s="537" t="s">
        <v>164</v>
      </c>
      <c r="P142" s="539">
        <v>1194724</v>
      </c>
      <c r="Q142" s="537" t="s">
        <v>689</v>
      </c>
      <c r="R142" s="548" t="s">
        <v>736</v>
      </c>
      <c r="S142" s="537">
        <v>124</v>
      </c>
      <c r="T142" s="540" t="s">
        <v>734</v>
      </c>
    </row>
    <row r="143" spans="1:122" s="343" customFormat="1" ht="15" customHeight="1">
      <c r="A143" s="345">
        <v>18710</v>
      </c>
      <c r="B143" s="537" t="s">
        <v>731</v>
      </c>
      <c r="C143" s="537" t="s">
        <v>732</v>
      </c>
      <c r="D143" s="537" t="s">
        <v>733</v>
      </c>
      <c r="E143" s="537">
        <v>79703</v>
      </c>
      <c r="F143" s="537" t="s">
        <v>733</v>
      </c>
      <c r="G143" s="546">
        <v>12</v>
      </c>
      <c r="H143" s="547" t="s">
        <v>14</v>
      </c>
      <c r="I143" s="538"/>
      <c r="J143" s="538"/>
      <c r="K143" s="547" t="s">
        <v>162</v>
      </c>
      <c r="L143" t="s">
        <v>163</v>
      </c>
      <c r="M143" s="537" t="s">
        <v>178</v>
      </c>
      <c r="P143" s="539">
        <v>853071</v>
      </c>
      <c r="Q143" s="537" t="s">
        <v>689</v>
      </c>
      <c r="R143" s="548" t="s">
        <v>736</v>
      </c>
      <c r="S143" s="537">
        <v>116</v>
      </c>
      <c r="T143" s="540" t="s">
        <v>735</v>
      </c>
    </row>
    <row r="144" spans="1:122" ht="15" customHeight="1">
      <c r="A144" s="90"/>
    </row>
    <row r="145" spans="1:21" ht="15" customHeight="1">
      <c r="U145"/>
    </row>
    <row r="146" spans="1:21" ht="15" customHeight="1">
      <c r="U146"/>
    </row>
    <row r="147" spans="1:21" ht="15" customHeight="1">
      <c r="U147"/>
    </row>
    <row r="148" spans="1:21" ht="15" customHeight="1">
      <c r="A148" s="90"/>
      <c r="U148"/>
    </row>
    <row r="149" spans="1:21" ht="15" customHeight="1">
      <c r="A149" s="90"/>
      <c r="U149"/>
    </row>
    <row r="150" spans="1:21" ht="15" customHeight="1">
      <c r="A150" s="90"/>
      <c r="U150"/>
    </row>
    <row r="151" spans="1:21" ht="15" customHeight="1">
      <c r="A151" s="90"/>
      <c r="U151"/>
    </row>
    <row r="152" spans="1:21" ht="15" customHeight="1">
      <c r="A152" s="90"/>
      <c r="U152"/>
    </row>
    <row r="153" spans="1:21" ht="15" customHeight="1">
      <c r="A153" s="90"/>
      <c r="U153"/>
    </row>
    <row r="154" spans="1:21" ht="15" customHeight="1">
      <c r="A154" s="90"/>
      <c r="U154"/>
    </row>
  </sheetData>
  <autoFilter ref="A2:U103">
    <filterColumn colId="6">
      <filters>
        <filter val="7"/>
      </filters>
    </filterColumn>
    <sortState ref="A24:U161">
      <sortCondition ref="A2:A168"/>
    </sortState>
  </autoFilter>
  <pageMargins left="0.25" right="0.25" top="0.75" bottom="0.75" header="0.3" footer="0.3"/>
  <pageSetup paperSize="5"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E174"/>
  <sheetViews>
    <sheetView workbookViewId="0">
      <selection activeCell="C32" sqref="C32"/>
    </sheetView>
  </sheetViews>
  <sheetFormatPr defaultRowHeight="15"/>
  <cols>
    <col min="1" max="1" width="12.5703125" style="266" bestFit="1" customWidth="1"/>
    <col min="2" max="3" width="28" customWidth="1"/>
    <col min="4" max="4" width="23.5703125" style="265" customWidth="1"/>
    <col min="5" max="5" width="34" bestFit="1" customWidth="1"/>
  </cols>
  <sheetData>
    <row r="1" spans="1:5">
      <c r="A1" s="266" t="s">
        <v>120</v>
      </c>
      <c r="B1" t="s">
        <v>121</v>
      </c>
      <c r="C1" s="328" t="s">
        <v>145</v>
      </c>
      <c r="D1" s="329" t="s">
        <v>144</v>
      </c>
      <c r="E1" s="328" t="s">
        <v>122</v>
      </c>
    </row>
    <row r="2" spans="1:5">
      <c r="A2" s="184">
        <v>18000</v>
      </c>
      <c r="B2" s="324"/>
      <c r="C2" s="324"/>
      <c r="E2" s="265"/>
    </row>
    <row r="3" spans="1:5">
      <c r="A3" s="184">
        <v>18002</v>
      </c>
      <c r="B3" s="324"/>
      <c r="C3" s="324"/>
      <c r="D3"/>
    </row>
    <row r="4" spans="1:5">
      <c r="A4" s="184">
        <v>18024</v>
      </c>
      <c r="B4" s="324"/>
      <c r="C4" s="324"/>
      <c r="D4"/>
    </row>
    <row r="5" spans="1:5">
      <c r="A5" s="184">
        <v>18069</v>
      </c>
      <c r="B5" s="324"/>
      <c r="C5" s="324"/>
      <c r="D5"/>
    </row>
    <row r="6" spans="1:5">
      <c r="A6" s="184">
        <v>18087</v>
      </c>
      <c r="B6" s="324"/>
      <c r="C6" s="324"/>
      <c r="D6"/>
    </row>
    <row r="7" spans="1:5">
      <c r="A7" s="184">
        <v>18091</v>
      </c>
      <c r="B7" s="324"/>
      <c r="C7" s="324"/>
      <c r="D7"/>
    </row>
    <row r="8" spans="1:5">
      <c r="A8" s="184">
        <v>18096</v>
      </c>
      <c r="B8" s="324"/>
      <c r="C8" s="324"/>
      <c r="D8"/>
    </row>
    <row r="9" spans="1:5">
      <c r="A9" s="184">
        <v>18204</v>
      </c>
      <c r="B9" s="324"/>
      <c r="C9" s="324"/>
      <c r="D9"/>
    </row>
    <row r="10" spans="1:5">
      <c r="A10" s="184">
        <v>18214</v>
      </c>
      <c r="B10" s="324"/>
      <c r="C10" s="324"/>
      <c r="D10"/>
    </row>
    <row r="11" spans="1:5">
      <c r="A11" s="184">
        <v>18220</v>
      </c>
      <c r="B11" s="324"/>
      <c r="C11" s="324"/>
      <c r="D11"/>
    </row>
    <row r="12" spans="1:5">
      <c r="A12" s="184">
        <v>18221</v>
      </c>
      <c r="B12" s="324"/>
      <c r="C12" s="324"/>
      <c r="D12"/>
    </row>
    <row r="13" spans="1:5">
      <c r="A13" s="184">
        <v>18263</v>
      </c>
      <c r="B13" s="324"/>
      <c r="C13" s="324"/>
      <c r="D13"/>
    </row>
    <row r="14" spans="1:5">
      <c r="A14" s="184">
        <v>18264</v>
      </c>
      <c r="B14" s="323"/>
      <c r="C14" s="323"/>
      <c r="D14"/>
    </row>
    <row r="15" spans="1:5">
      <c r="A15" s="184">
        <v>18269</v>
      </c>
      <c r="B15" s="322"/>
      <c r="C15" s="322"/>
      <c r="D15"/>
    </row>
    <row r="16" spans="1:5">
      <c r="A16" s="184">
        <v>18298</v>
      </c>
      <c r="B16" s="324"/>
      <c r="C16" s="324"/>
      <c r="D16"/>
    </row>
    <row r="17" spans="1:4">
      <c r="A17" s="184">
        <v>18314</v>
      </c>
      <c r="B17" s="323"/>
      <c r="C17" s="323"/>
      <c r="D17"/>
    </row>
    <row r="18" spans="1:4">
      <c r="A18" s="184">
        <v>18361</v>
      </c>
      <c r="B18" s="324"/>
      <c r="C18" s="324"/>
      <c r="D18"/>
    </row>
    <row r="19" spans="1:4">
      <c r="A19" s="184">
        <v>18363</v>
      </c>
      <c r="B19" s="323"/>
      <c r="C19" s="323"/>
      <c r="D19"/>
    </row>
    <row r="20" spans="1:4">
      <c r="A20" s="184">
        <v>18368</v>
      </c>
      <c r="B20" s="323"/>
      <c r="C20" s="323"/>
      <c r="D20"/>
    </row>
    <row r="21" spans="1:4">
      <c r="A21" s="184">
        <v>18372</v>
      </c>
      <c r="B21" s="323"/>
      <c r="C21" s="323"/>
      <c r="D21"/>
    </row>
    <row r="22" spans="1:4">
      <c r="A22" s="184">
        <v>18373</v>
      </c>
      <c r="B22" s="324"/>
      <c r="C22" s="324"/>
      <c r="D22"/>
    </row>
    <row r="23" spans="1:4">
      <c r="A23" s="184">
        <v>18374</v>
      </c>
      <c r="B23" s="324"/>
      <c r="C23" s="324"/>
      <c r="D23"/>
    </row>
    <row r="24" spans="1:4">
      <c r="A24" s="184">
        <v>18376</v>
      </c>
      <c r="B24" s="323"/>
      <c r="C24" s="323"/>
      <c r="D24"/>
    </row>
    <row r="25" spans="1:4">
      <c r="A25" s="184">
        <v>18388</v>
      </c>
      <c r="B25" s="324"/>
      <c r="C25" s="324"/>
      <c r="D25"/>
    </row>
    <row r="26" spans="1:4">
      <c r="A26" s="184">
        <v>18009</v>
      </c>
      <c r="B26" s="324"/>
      <c r="C26" s="324"/>
      <c r="D26"/>
    </row>
    <row r="27" spans="1:4">
      <c r="A27" s="184">
        <v>18010</v>
      </c>
      <c r="B27" s="325"/>
      <c r="C27" s="325"/>
      <c r="D27"/>
    </row>
    <row r="28" spans="1:4">
      <c r="A28" s="184">
        <v>18012</v>
      </c>
      <c r="B28" s="324"/>
      <c r="C28" s="324"/>
      <c r="D28"/>
    </row>
    <row r="29" spans="1:4">
      <c r="A29" s="184">
        <v>18013</v>
      </c>
      <c r="B29" s="324"/>
      <c r="C29" s="324"/>
      <c r="D29"/>
    </row>
    <row r="30" spans="1:4">
      <c r="A30" s="184">
        <v>18015</v>
      </c>
      <c r="B30" s="324"/>
      <c r="C30" s="324"/>
      <c r="D30"/>
    </row>
    <row r="31" spans="1:4">
      <c r="A31" s="184">
        <v>18018</v>
      </c>
      <c r="B31" s="324"/>
      <c r="C31" s="324"/>
      <c r="D31"/>
    </row>
    <row r="32" spans="1:4">
      <c r="A32" s="184">
        <v>18019</v>
      </c>
      <c r="B32" s="323"/>
      <c r="C32" s="323"/>
      <c r="D32"/>
    </row>
    <row r="33" spans="1:4">
      <c r="A33" s="184">
        <v>18020</v>
      </c>
      <c r="B33" s="323"/>
      <c r="C33" s="323"/>
      <c r="D33"/>
    </row>
    <row r="34" spans="1:4">
      <c r="A34" s="184">
        <v>18025</v>
      </c>
      <c r="B34" s="324"/>
      <c r="C34" s="324"/>
      <c r="D34"/>
    </row>
    <row r="35" spans="1:4">
      <c r="A35" s="184">
        <v>18026</v>
      </c>
      <c r="B35" s="322"/>
      <c r="C35" s="322"/>
      <c r="D35"/>
    </row>
    <row r="36" spans="1:4">
      <c r="A36" s="184">
        <v>18033</v>
      </c>
      <c r="B36" s="324"/>
      <c r="C36" s="324"/>
      <c r="D36"/>
    </row>
    <row r="37" spans="1:4">
      <c r="A37" s="184">
        <v>18036</v>
      </c>
      <c r="B37" s="324"/>
      <c r="C37" s="324"/>
      <c r="D37"/>
    </row>
    <row r="38" spans="1:4">
      <c r="A38" s="184">
        <v>18038</v>
      </c>
      <c r="B38" s="324"/>
      <c r="C38" s="324"/>
      <c r="D38"/>
    </row>
    <row r="39" spans="1:4">
      <c r="A39" s="184">
        <v>18039</v>
      </c>
      <c r="B39" s="324"/>
      <c r="C39" s="324"/>
      <c r="D39"/>
    </row>
    <row r="40" spans="1:4">
      <c r="A40" s="184">
        <v>18040</v>
      </c>
      <c r="B40" s="322"/>
      <c r="C40" s="322"/>
      <c r="D40"/>
    </row>
    <row r="41" spans="1:4">
      <c r="A41" s="184">
        <v>18043</v>
      </c>
      <c r="B41" s="324"/>
      <c r="C41" s="323"/>
      <c r="D41"/>
    </row>
    <row r="42" spans="1:4">
      <c r="A42" s="184">
        <v>18047</v>
      </c>
      <c r="B42" s="324"/>
      <c r="C42" s="324"/>
      <c r="D42"/>
    </row>
    <row r="43" spans="1:4">
      <c r="A43" s="184">
        <v>18052</v>
      </c>
      <c r="B43" s="324"/>
      <c r="C43" s="324"/>
      <c r="D43"/>
    </row>
    <row r="44" spans="1:4">
      <c r="A44" s="184">
        <v>18053</v>
      </c>
      <c r="B44" s="324"/>
      <c r="C44" s="324"/>
      <c r="D44"/>
    </row>
    <row r="45" spans="1:4">
      <c r="A45" s="184">
        <v>18054</v>
      </c>
      <c r="B45" s="324"/>
      <c r="C45" s="324"/>
      <c r="D45"/>
    </row>
    <row r="46" spans="1:4">
      <c r="A46" s="184">
        <v>18057</v>
      </c>
      <c r="B46" s="322"/>
      <c r="C46" s="322"/>
      <c r="D46"/>
    </row>
    <row r="47" spans="1:4">
      <c r="A47" s="184">
        <v>18058</v>
      </c>
      <c r="B47" s="324"/>
      <c r="C47" s="324"/>
      <c r="D47"/>
    </row>
    <row r="48" spans="1:4">
      <c r="A48" s="184">
        <v>18064</v>
      </c>
      <c r="B48" s="323"/>
      <c r="C48" s="323"/>
      <c r="D48"/>
    </row>
    <row r="49" spans="1:4">
      <c r="A49" s="184">
        <v>18067</v>
      </c>
      <c r="B49" s="322"/>
      <c r="C49" s="322"/>
      <c r="D49"/>
    </row>
    <row r="50" spans="1:4">
      <c r="A50" s="184">
        <v>18068</v>
      </c>
      <c r="B50" s="322"/>
      <c r="C50" s="322"/>
      <c r="D50"/>
    </row>
    <row r="51" spans="1:4">
      <c r="A51" s="184">
        <v>18077</v>
      </c>
      <c r="B51" s="322"/>
      <c r="C51" s="322"/>
      <c r="D51"/>
    </row>
    <row r="52" spans="1:4">
      <c r="A52" s="184">
        <v>18081</v>
      </c>
      <c r="B52" s="322"/>
      <c r="C52" s="322"/>
      <c r="D52"/>
    </row>
    <row r="53" spans="1:4">
      <c r="A53" s="184">
        <v>18084</v>
      </c>
      <c r="B53" s="322"/>
      <c r="C53" s="322"/>
      <c r="D53"/>
    </row>
    <row r="54" spans="1:4">
      <c r="A54" s="344">
        <v>18086</v>
      </c>
      <c r="B54" s="322"/>
      <c r="C54" s="322"/>
      <c r="D54"/>
    </row>
    <row r="55" spans="1:4">
      <c r="A55" s="344">
        <v>18093</v>
      </c>
      <c r="B55" s="322"/>
      <c r="C55" s="322"/>
      <c r="D55"/>
    </row>
    <row r="56" spans="1:4">
      <c r="A56" s="344">
        <v>18095</v>
      </c>
      <c r="B56" s="324"/>
      <c r="C56" s="324"/>
      <c r="D56"/>
    </row>
    <row r="57" spans="1:4">
      <c r="A57" s="344">
        <v>18099</v>
      </c>
      <c r="B57" s="324"/>
      <c r="C57" s="324"/>
      <c r="D57"/>
    </row>
    <row r="58" spans="1:4">
      <c r="A58" s="344">
        <v>18103</v>
      </c>
      <c r="B58" s="324"/>
      <c r="C58" s="324"/>
      <c r="D58"/>
    </row>
    <row r="59" spans="1:4">
      <c r="A59" s="360">
        <v>18106</v>
      </c>
      <c r="B59" s="324"/>
      <c r="C59" s="324"/>
      <c r="D59"/>
    </row>
    <row r="60" spans="1:4">
      <c r="A60" s="360">
        <v>18109</v>
      </c>
      <c r="B60" s="322"/>
      <c r="C60" s="322"/>
      <c r="D60"/>
    </row>
    <row r="61" spans="1:4">
      <c r="A61" s="344">
        <v>18118</v>
      </c>
      <c r="B61" s="324"/>
      <c r="C61" s="324"/>
      <c r="D61"/>
    </row>
    <row r="62" spans="1:4">
      <c r="A62" s="344">
        <v>18126</v>
      </c>
      <c r="B62" s="324"/>
      <c r="C62" s="324"/>
      <c r="D62"/>
    </row>
    <row r="63" spans="1:4">
      <c r="A63" s="344">
        <v>18127</v>
      </c>
      <c r="B63" s="324"/>
      <c r="C63" s="324"/>
      <c r="D63"/>
    </row>
    <row r="64" spans="1:4">
      <c r="A64" s="344">
        <v>18129</v>
      </c>
      <c r="B64" s="324"/>
      <c r="C64" s="324"/>
      <c r="D64"/>
    </row>
    <row r="65" spans="1:4">
      <c r="A65" s="344">
        <v>18130</v>
      </c>
      <c r="B65" s="324"/>
      <c r="C65" s="324"/>
      <c r="D65"/>
    </row>
    <row r="66" spans="1:4">
      <c r="A66" s="184">
        <v>18137</v>
      </c>
      <c r="B66" s="324"/>
      <c r="C66" s="324"/>
      <c r="D66"/>
    </row>
    <row r="67" spans="1:4">
      <c r="A67" s="184">
        <v>18138</v>
      </c>
      <c r="B67" s="324"/>
      <c r="C67" s="324"/>
      <c r="D67"/>
    </row>
    <row r="68" spans="1:4">
      <c r="A68" s="184">
        <v>18142</v>
      </c>
      <c r="B68" s="324"/>
      <c r="C68" s="324"/>
      <c r="D68"/>
    </row>
    <row r="69" spans="1:4">
      <c r="A69" s="184">
        <v>18143</v>
      </c>
      <c r="B69" s="324"/>
      <c r="C69" s="324"/>
      <c r="D69"/>
    </row>
    <row r="70" spans="1:4">
      <c r="A70" s="184">
        <v>18148</v>
      </c>
      <c r="B70" s="324"/>
      <c r="C70" s="324"/>
      <c r="D70"/>
    </row>
    <row r="71" spans="1:4">
      <c r="A71" s="347">
        <v>18152</v>
      </c>
      <c r="B71" s="324"/>
      <c r="C71" s="324"/>
      <c r="D71"/>
    </row>
    <row r="72" spans="1:4">
      <c r="A72" s="184">
        <v>18157</v>
      </c>
      <c r="B72" s="324"/>
      <c r="C72" s="324"/>
      <c r="D72"/>
    </row>
    <row r="73" spans="1:4">
      <c r="A73" s="184">
        <v>18159</v>
      </c>
      <c r="B73" s="324"/>
      <c r="C73" s="324"/>
      <c r="D73"/>
    </row>
    <row r="74" spans="1:4">
      <c r="A74" s="184">
        <v>18161</v>
      </c>
      <c r="B74" s="324"/>
      <c r="C74" s="324"/>
      <c r="D74"/>
    </row>
    <row r="75" spans="1:4">
      <c r="A75" s="184">
        <v>18162</v>
      </c>
      <c r="B75" s="324"/>
      <c r="C75" s="324"/>
      <c r="D75"/>
    </row>
    <row r="76" spans="1:4">
      <c r="A76" s="184">
        <v>18166</v>
      </c>
      <c r="B76" s="324"/>
      <c r="C76" s="324"/>
      <c r="D76"/>
    </row>
    <row r="77" spans="1:4">
      <c r="A77" s="184">
        <v>18171</v>
      </c>
      <c r="B77" s="324"/>
      <c r="C77" s="324"/>
      <c r="D77"/>
    </row>
    <row r="78" spans="1:4">
      <c r="A78" s="184">
        <v>18186</v>
      </c>
      <c r="B78" s="324"/>
      <c r="C78" s="324"/>
      <c r="D78"/>
    </row>
    <row r="79" spans="1:4">
      <c r="A79" s="184">
        <v>18188</v>
      </c>
      <c r="B79" s="324"/>
      <c r="C79" s="323"/>
      <c r="D79"/>
    </row>
    <row r="80" spans="1:4">
      <c r="A80" s="184">
        <v>18192</v>
      </c>
      <c r="B80" s="324"/>
      <c r="C80" s="324"/>
      <c r="D80"/>
    </row>
    <row r="81" spans="1:4">
      <c r="A81" s="184">
        <v>18196</v>
      </c>
      <c r="B81" s="324"/>
      <c r="C81" s="324"/>
      <c r="D81"/>
    </row>
    <row r="82" spans="1:4">
      <c r="A82" s="184">
        <v>18206</v>
      </c>
      <c r="B82" s="324"/>
      <c r="C82" s="324"/>
      <c r="D82"/>
    </row>
    <row r="83" spans="1:4">
      <c r="A83" s="184">
        <v>18208</v>
      </c>
      <c r="B83" s="324"/>
      <c r="C83" s="324"/>
      <c r="D83"/>
    </row>
    <row r="84" spans="1:4">
      <c r="A84" s="184">
        <v>18217</v>
      </c>
      <c r="B84" s="322"/>
      <c r="C84" s="322"/>
      <c r="D84"/>
    </row>
    <row r="85" spans="1:4">
      <c r="A85" s="184">
        <v>18218</v>
      </c>
      <c r="B85" s="322"/>
      <c r="C85" s="322"/>
      <c r="D85"/>
    </row>
    <row r="86" spans="1:4">
      <c r="A86" s="184">
        <v>18219</v>
      </c>
      <c r="B86" s="322"/>
      <c r="C86" s="322"/>
      <c r="D86"/>
    </row>
    <row r="87" spans="1:4">
      <c r="A87" s="184">
        <v>18222</v>
      </c>
      <c r="B87" s="324"/>
      <c r="C87" s="324"/>
      <c r="D87"/>
    </row>
    <row r="88" spans="1:4">
      <c r="A88" s="184">
        <v>18223</v>
      </c>
      <c r="B88" s="324"/>
      <c r="C88" s="323"/>
      <c r="D88"/>
    </row>
    <row r="89" spans="1:4">
      <c r="A89" s="347">
        <v>18224</v>
      </c>
      <c r="B89" s="324"/>
      <c r="C89" s="324"/>
      <c r="D89"/>
    </row>
    <row r="90" spans="1:4">
      <c r="A90" s="184">
        <v>18230</v>
      </c>
      <c r="B90" s="324"/>
      <c r="C90" s="324"/>
      <c r="D90"/>
    </row>
    <row r="91" spans="1:4">
      <c r="A91" s="184">
        <v>18235</v>
      </c>
      <c r="B91" s="324"/>
      <c r="C91" s="324"/>
      <c r="D91"/>
    </row>
    <row r="92" spans="1:4">
      <c r="A92" s="184">
        <v>18239</v>
      </c>
      <c r="B92" s="324"/>
      <c r="C92" s="323"/>
      <c r="D92"/>
    </row>
    <row r="93" spans="1:4">
      <c r="A93" s="184">
        <v>18243</v>
      </c>
      <c r="B93" s="324"/>
      <c r="C93" s="324"/>
      <c r="D93"/>
    </row>
    <row r="94" spans="1:4">
      <c r="A94" s="184">
        <v>18245</v>
      </c>
      <c r="B94" s="324"/>
      <c r="C94" s="324"/>
      <c r="D94"/>
    </row>
    <row r="95" spans="1:4">
      <c r="A95" s="184">
        <v>18249</v>
      </c>
      <c r="B95" s="324"/>
      <c r="C95" s="324"/>
      <c r="D95"/>
    </row>
    <row r="96" spans="1:4">
      <c r="A96" s="184">
        <v>18250</v>
      </c>
      <c r="B96" s="324"/>
      <c r="C96" s="323"/>
      <c r="D96"/>
    </row>
    <row r="97" spans="1:4">
      <c r="A97" s="184">
        <v>18251</v>
      </c>
      <c r="B97" s="324"/>
      <c r="C97" s="324"/>
      <c r="D97"/>
    </row>
    <row r="98" spans="1:4">
      <c r="A98" s="184">
        <v>18254</v>
      </c>
      <c r="B98" s="324"/>
      <c r="C98" s="324"/>
      <c r="D98"/>
    </row>
    <row r="99" spans="1:4">
      <c r="A99" s="184">
        <v>18255</v>
      </c>
      <c r="B99" s="324"/>
      <c r="C99" s="324"/>
      <c r="D99"/>
    </row>
    <row r="100" spans="1:4">
      <c r="A100" s="184">
        <v>18259</v>
      </c>
      <c r="B100" s="324"/>
      <c r="C100" s="324"/>
      <c r="D100"/>
    </row>
    <row r="101" spans="1:4">
      <c r="A101" s="184">
        <v>18260</v>
      </c>
      <c r="B101" s="324"/>
      <c r="C101" s="324"/>
      <c r="D101"/>
    </row>
    <row r="102" spans="1:4">
      <c r="A102" s="184">
        <v>18261</v>
      </c>
      <c r="B102" s="324"/>
      <c r="C102" s="324"/>
      <c r="D102"/>
    </row>
    <row r="103" spans="1:4">
      <c r="A103" s="184">
        <v>18267</v>
      </c>
      <c r="B103" s="324"/>
      <c r="C103" s="323"/>
      <c r="D103"/>
    </row>
    <row r="104" spans="1:4">
      <c r="A104" s="184">
        <v>18268</v>
      </c>
      <c r="B104" s="324"/>
      <c r="C104" s="324"/>
      <c r="D104"/>
    </row>
    <row r="105" spans="1:4">
      <c r="A105" s="184">
        <v>18273</v>
      </c>
      <c r="B105" s="324"/>
      <c r="C105" s="324"/>
      <c r="D105"/>
    </row>
    <row r="106" spans="1:4">
      <c r="A106" s="184">
        <v>18274</v>
      </c>
      <c r="B106" s="324"/>
      <c r="C106" s="324"/>
      <c r="D106"/>
    </row>
    <row r="107" spans="1:4">
      <c r="A107" s="184">
        <v>18283</v>
      </c>
      <c r="B107" s="324"/>
      <c r="C107" s="324"/>
      <c r="D107"/>
    </row>
    <row r="108" spans="1:4">
      <c r="A108" s="184">
        <v>18288</v>
      </c>
      <c r="B108" s="324"/>
      <c r="C108" s="324"/>
      <c r="D108"/>
    </row>
    <row r="109" spans="1:4">
      <c r="A109" s="184">
        <v>18289</v>
      </c>
      <c r="B109" s="324"/>
      <c r="C109" s="323"/>
      <c r="D109"/>
    </row>
    <row r="110" spans="1:4">
      <c r="A110" s="184">
        <v>18293</v>
      </c>
      <c r="B110" s="324"/>
      <c r="C110" s="324"/>
      <c r="D110"/>
    </row>
    <row r="111" spans="1:4">
      <c r="A111" s="184">
        <v>18294</v>
      </c>
      <c r="B111" s="324"/>
      <c r="C111" s="324"/>
      <c r="D111"/>
    </row>
    <row r="112" spans="1:4">
      <c r="A112" s="184">
        <v>18305</v>
      </c>
      <c r="B112" s="324"/>
      <c r="C112" s="324"/>
      <c r="D112"/>
    </row>
    <row r="113" spans="1:5">
      <c r="A113" s="184">
        <v>18306</v>
      </c>
      <c r="B113" s="324"/>
      <c r="C113" s="324"/>
      <c r="D113"/>
    </row>
    <row r="114" spans="1:5">
      <c r="A114" s="184">
        <v>18309</v>
      </c>
      <c r="B114" s="324"/>
      <c r="C114" s="324"/>
      <c r="D114"/>
    </row>
    <row r="115" spans="1:5">
      <c r="A115" s="184">
        <v>18320</v>
      </c>
      <c r="B115" s="322"/>
      <c r="C115" s="322"/>
      <c r="D115"/>
    </row>
    <row r="116" spans="1:5">
      <c r="A116" s="184">
        <v>18322</v>
      </c>
      <c r="B116" s="324"/>
      <c r="C116" s="324"/>
      <c r="D116"/>
    </row>
    <row r="117" spans="1:5">
      <c r="A117" s="184">
        <v>18323</v>
      </c>
      <c r="B117" s="322"/>
      <c r="C117" s="322"/>
      <c r="E117" s="265"/>
    </row>
    <row r="118" spans="1:5">
      <c r="A118" s="184">
        <v>18327</v>
      </c>
      <c r="B118" s="324"/>
      <c r="C118" s="324"/>
      <c r="D118"/>
    </row>
    <row r="119" spans="1:5">
      <c r="A119" s="184">
        <v>18331</v>
      </c>
      <c r="B119" s="322"/>
      <c r="C119" s="322"/>
      <c r="D119"/>
    </row>
    <row r="120" spans="1:5">
      <c r="A120" s="184">
        <v>18333</v>
      </c>
      <c r="B120" s="324"/>
      <c r="C120" s="324"/>
      <c r="D120"/>
    </row>
    <row r="121" spans="1:5">
      <c r="A121" s="184">
        <v>18335</v>
      </c>
      <c r="B121" s="322"/>
      <c r="D121"/>
    </row>
    <row r="122" spans="1:5">
      <c r="A122" s="184">
        <v>18337</v>
      </c>
      <c r="B122" s="322"/>
      <c r="C122" s="322"/>
      <c r="D122"/>
    </row>
    <row r="123" spans="1:5">
      <c r="A123" s="184">
        <v>18338</v>
      </c>
      <c r="B123" s="322"/>
      <c r="C123" s="322"/>
      <c r="D123"/>
    </row>
    <row r="124" spans="1:5">
      <c r="A124" s="184">
        <v>18339</v>
      </c>
      <c r="B124" s="324"/>
      <c r="C124" s="324"/>
      <c r="D124"/>
    </row>
    <row r="125" spans="1:5">
      <c r="A125" s="184">
        <v>18345</v>
      </c>
      <c r="B125" s="323"/>
      <c r="C125" s="323"/>
      <c r="D125"/>
    </row>
    <row r="126" spans="1:5">
      <c r="A126" s="184">
        <v>18347</v>
      </c>
      <c r="B126" s="324"/>
      <c r="C126" s="324"/>
      <c r="D126"/>
    </row>
    <row r="127" spans="1:5">
      <c r="A127" s="184">
        <v>18353</v>
      </c>
      <c r="B127" s="324"/>
      <c r="C127" s="324"/>
      <c r="D127"/>
    </row>
    <row r="128" spans="1:5">
      <c r="A128" s="184">
        <v>18354</v>
      </c>
      <c r="B128" s="322"/>
      <c r="C128" s="322"/>
      <c r="D128"/>
    </row>
    <row r="129" spans="1:4">
      <c r="A129" s="184">
        <v>18355</v>
      </c>
      <c r="B129" s="324"/>
      <c r="C129" s="324"/>
      <c r="D129"/>
    </row>
    <row r="130" spans="1:4">
      <c r="A130" s="184">
        <v>18357</v>
      </c>
      <c r="B130" s="324"/>
      <c r="C130" s="324"/>
      <c r="D130"/>
    </row>
    <row r="131" spans="1:4">
      <c r="A131" s="184">
        <v>18358</v>
      </c>
      <c r="B131" s="324"/>
      <c r="C131" s="324"/>
      <c r="D131"/>
    </row>
    <row r="132" spans="1:4">
      <c r="A132" s="184">
        <v>18369</v>
      </c>
      <c r="B132" s="324"/>
      <c r="C132" s="324"/>
      <c r="D132"/>
    </row>
    <row r="133" spans="1:4">
      <c r="A133" s="184">
        <v>18370</v>
      </c>
      <c r="B133" s="324"/>
      <c r="C133" s="324"/>
      <c r="D133"/>
    </row>
    <row r="134" spans="1:4">
      <c r="A134" s="184">
        <v>18371</v>
      </c>
      <c r="B134" s="324"/>
      <c r="C134" s="324"/>
      <c r="D134"/>
    </row>
    <row r="135" spans="1:4">
      <c r="A135" s="184">
        <v>18382</v>
      </c>
      <c r="B135" s="322"/>
      <c r="C135" s="322"/>
      <c r="D135"/>
    </row>
    <row r="136" spans="1:4">
      <c r="A136" s="184">
        <v>18383</v>
      </c>
      <c r="B136" s="322"/>
      <c r="C136" s="322"/>
      <c r="D136"/>
    </row>
    <row r="137" spans="1:4">
      <c r="A137" s="184">
        <v>18391</v>
      </c>
      <c r="B137" s="324"/>
      <c r="C137" s="324"/>
      <c r="D137"/>
    </row>
    <row r="138" spans="1:4">
      <c r="A138" s="184">
        <v>18398</v>
      </c>
      <c r="B138" s="324"/>
      <c r="C138" s="324"/>
      <c r="D138"/>
    </row>
    <row r="139" spans="1:4">
      <c r="A139" s="184">
        <v>18707</v>
      </c>
      <c r="B139" s="324"/>
      <c r="C139" s="324"/>
      <c r="D139"/>
    </row>
    <row r="140" spans="1:4">
      <c r="A140" s="322"/>
      <c r="B140" s="322"/>
      <c r="C140" s="322"/>
      <c r="D140"/>
    </row>
    <row r="141" spans="1:4">
      <c r="A141" s="324"/>
      <c r="B141" s="324"/>
      <c r="C141" s="324"/>
      <c r="D141"/>
    </row>
    <row r="142" spans="1:4">
      <c r="A142" s="324"/>
      <c r="B142" s="324"/>
      <c r="C142" s="324"/>
      <c r="D142"/>
    </row>
    <row r="143" spans="1:4">
      <c r="A143" s="324"/>
      <c r="B143" s="324"/>
      <c r="C143" s="324"/>
      <c r="D143"/>
    </row>
    <row r="144" spans="1:4">
      <c r="A144" s="324"/>
      <c r="B144" s="324"/>
      <c r="C144" s="324"/>
      <c r="D144"/>
    </row>
    <row r="145" spans="1:4">
      <c r="A145" s="324"/>
      <c r="B145" s="324"/>
      <c r="C145" s="324"/>
      <c r="D145"/>
    </row>
    <row r="146" spans="1:4">
      <c r="A146" s="324"/>
      <c r="B146" s="324"/>
      <c r="C146" s="324"/>
      <c r="D146"/>
    </row>
    <row r="147" spans="1:4">
      <c r="A147" s="324"/>
      <c r="B147" s="324"/>
      <c r="C147" s="324"/>
      <c r="D147"/>
    </row>
    <row r="148" spans="1:4">
      <c r="A148" s="324"/>
      <c r="B148" s="324"/>
      <c r="C148" s="324"/>
      <c r="D148"/>
    </row>
    <row r="149" spans="1:4">
      <c r="A149" s="324"/>
      <c r="B149" s="324"/>
      <c r="C149" s="324"/>
      <c r="D149"/>
    </row>
    <row r="150" spans="1:4">
      <c r="D150"/>
    </row>
    <row r="151" spans="1:4">
      <c r="D151"/>
    </row>
    <row r="152" spans="1:4">
      <c r="D152"/>
    </row>
    <row r="153" spans="1:4">
      <c r="D153"/>
    </row>
    <row r="154" spans="1:4">
      <c r="D154"/>
    </row>
    <row r="155" spans="1:4">
      <c r="D155"/>
    </row>
    <row r="156" spans="1:4">
      <c r="D156"/>
    </row>
    <row r="157" spans="1:4">
      <c r="D157"/>
    </row>
    <row r="158" spans="1:4">
      <c r="D158"/>
    </row>
    <row r="159" spans="1:4">
      <c r="D159"/>
    </row>
    <row r="160" spans="1:4">
      <c r="D160"/>
    </row>
    <row r="161" spans="4:4">
      <c r="D161"/>
    </row>
    <row r="162" spans="4:4">
      <c r="D162"/>
    </row>
    <row r="163" spans="4:4">
      <c r="D163"/>
    </row>
    <row r="164" spans="4:4">
      <c r="D164"/>
    </row>
    <row r="165" spans="4:4">
      <c r="D165"/>
    </row>
    <row r="166" spans="4:4">
      <c r="D166"/>
    </row>
    <row r="167" spans="4:4">
      <c r="D167"/>
    </row>
    <row r="168" spans="4:4">
      <c r="D168"/>
    </row>
    <row r="169" spans="4:4">
      <c r="D169"/>
    </row>
    <row r="170" spans="4:4">
      <c r="D170"/>
    </row>
    <row r="171" spans="4:4">
      <c r="D171"/>
    </row>
    <row r="172" spans="4:4">
      <c r="D172"/>
    </row>
    <row r="173" spans="4:4">
      <c r="D173"/>
    </row>
    <row r="174" spans="4:4">
      <c r="D174"/>
    </row>
  </sheetData>
  <pageMargins left="0.7" right="0.7" top="0.75" bottom="0.75" header="0.3" footer="0.3"/>
  <pageSetup scale="71" fitToHeight="15" orientation="portrait" r:id="rId1"/>
</worksheet>
</file>

<file path=xl/worksheets/sheet5.xml><?xml version="1.0" encoding="utf-8"?>
<worksheet xmlns="http://schemas.openxmlformats.org/spreadsheetml/2006/main" xmlns:r="http://schemas.openxmlformats.org/officeDocument/2006/relationships">
  <dimension ref="A1:I143"/>
  <sheetViews>
    <sheetView workbookViewId="0">
      <selection activeCell="J27" sqref="J27"/>
    </sheetView>
  </sheetViews>
  <sheetFormatPr defaultColWidth="27.7109375" defaultRowHeight="15"/>
  <cols>
    <col min="1" max="1" width="10.7109375" style="330" bestFit="1" customWidth="1"/>
    <col min="2" max="2" width="17.85546875" style="252" customWidth="1"/>
    <col min="3" max="3" width="19.85546875" style="436" customWidth="1"/>
    <col min="4" max="4" width="19.85546875" style="331" customWidth="1"/>
    <col min="5" max="5" width="11.5703125" style="274" hidden="1" customWidth="1"/>
    <col min="6" max="7" width="10" style="274" hidden="1" customWidth="1"/>
    <col min="8" max="8" width="0" hidden="1" customWidth="1"/>
    <col min="9" max="9" width="14.7109375" customWidth="1"/>
  </cols>
  <sheetData>
    <row r="1" spans="1:9">
      <c r="A1" s="339" t="s">
        <v>101</v>
      </c>
      <c r="B1" s="339" t="s">
        <v>146</v>
      </c>
      <c r="C1" s="433" t="s">
        <v>123</v>
      </c>
      <c r="D1" s="340"/>
      <c r="E1" s="339" t="s">
        <v>124</v>
      </c>
      <c r="F1" s="339" t="s">
        <v>126</v>
      </c>
      <c r="G1" s="339" t="s">
        <v>125</v>
      </c>
      <c r="H1" s="339" t="s">
        <v>132</v>
      </c>
      <c r="I1" s="335"/>
    </row>
    <row r="2" spans="1:9">
      <c r="A2" s="342">
        <v>18249</v>
      </c>
      <c r="B2" s="333">
        <f>VLOOKUP($A2,'DB Link APP'!$A$2:$T$323,16,FALSE)</f>
        <v>266484</v>
      </c>
      <c r="C2" s="434">
        <v>266484</v>
      </c>
      <c r="D2" s="334">
        <f>+IF(C2&gt;0,C2,B2)</f>
        <v>266484</v>
      </c>
      <c r="E2" s="290">
        <v>0</v>
      </c>
      <c r="F2" s="290">
        <v>0</v>
      </c>
      <c r="G2" s="290">
        <v>0</v>
      </c>
      <c r="H2" s="277"/>
      <c r="I2" s="317">
        <f>IF(C2&gt;0,B2-C2,0)</f>
        <v>0</v>
      </c>
    </row>
    <row r="3" spans="1:9">
      <c r="A3" s="342">
        <v>18013</v>
      </c>
      <c r="B3" s="333">
        <f>VLOOKUP($A3,'DB Link APP'!$A$2:$T$323,16,FALSE)</f>
        <v>373500</v>
      </c>
      <c r="C3" s="434">
        <v>279322</v>
      </c>
      <c r="D3" s="334">
        <f t="shared" ref="D3:D51" si="0">+IF(C3&gt;0,C3,B3)</f>
        <v>279322</v>
      </c>
      <c r="E3" s="290">
        <v>0</v>
      </c>
      <c r="F3" s="290">
        <v>0</v>
      </c>
      <c r="G3" s="290">
        <v>0</v>
      </c>
      <c r="H3" s="277"/>
      <c r="I3" s="317">
        <f t="shared" ref="I3:I51" si="1">IF(C3&gt;0,B3-C3,0)</f>
        <v>94178</v>
      </c>
    </row>
    <row r="4" spans="1:9">
      <c r="A4" s="342">
        <v>18235</v>
      </c>
      <c r="B4" s="333">
        <f>VLOOKUP($A4,'DB Link APP'!$A$2:$T$323,16,FALSE)</f>
        <v>1883683</v>
      </c>
      <c r="C4" s="434">
        <v>1883683</v>
      </c>
      <c r="D4" s="334">
        <f t="shared" si="0"/>
        <v>1883683</v>
      </c>
      <c r="E4" s="290">
        <v>0</v>
      </c>
      <c r="F4" s="290">
        <v>0</v>
      </c>
      <c r="G4" s="290">
        <v>0</v>
      </c>
      <c r="H4" s="277"/>
      <c r="I4" s="317">
        <f t="shared" si="1"/>
        <v>0</v>
      </c>
    </row>
    <row r="5" spans="1:9">
      <c r="A5" s="342">
        <v>18118</v>
      </c>
      <c r="B5" s="333">
        <f>VLOOKUP($A5,'DB Link APP'!$A$2:$T$323,16,FALSE)</f>
        <v>471893.31</v>
      </c>
      <c r="C5" s="434">
        <v>458783</v>
      </c>
      <c r="D5" s="334">
        <f t="shared" si="0"/>
        <v>458783</v>
      </c>
      <c r="E5" s="290">
        <v>0</v>
      </c>
      <c r="F5" s="290">
        <v>0</v>
      </c>
      <c r="G5" s="290">
        <v>0</v>
      </c>
      <c r="H5" s="277"/>
      <c r="I5" s="317">
        <f t="shared" si="1"/>
        <v>13110.309999999998</v>
      </c>
    </row>
    <row r="6" spans="1:9">
      <c r="A6" s="342">
        <v>18250</v>
      </c>
      <c r="B6" s="333">
        <f>VLOOKUP($A6,'DB Link APP'!$A$2:$T$323,16,FALSE)</f>
        <v>590473</v>
      </c>
      <c r="C6" s="434">
        <v>550735</v>
      </c>
      <c r="D6" s="334">
        <f t="shared" si="0"/>
        <v>550735</v>
      </c>
      <c r="E6" s="290">
        <v>0</v>
      </c>
      <c r="F6" s="290">
        <v>0</v>
      </c>
      <c r="G6" s="290">
        <v>0</v>
      </c>
      <c r="H6" s="277"/>
      <c r="I6" s="317">
        <f t="shared" si="1"/>
        <v>39738</v>
      </c>
    </row>
    <row r="7" spans="1:9">
      <c r="A7" s="342">
        <v>18171</v>
      </c>
      <c r="B7" s="333">
        <f>VLOOKUP($A7,'DB Link APP'!$A$2:$T$323,16,FALSE)</f>
        <v>2000000</v>
      </c>
      <c r="C7" s="434">
        <v>2000000</v>
      </c>
      <c r="D7" s="334">
        <f t="shared" si="0"/>
        <v>2000000</v>
      </c>
      <c r="E7" s="290">
        <v>0</v>
      </c>
      <c r="F7" s="290">
        <v>0</v>
      </c>
      <c r="G7" s="290">
        <v>0</v>
      </c>
      <c r="H7" s="277"/>
      <c r="I7" s="317">
        <f t="shared" si="1"/>
        <v>0</v>
      </c>
    </row>
    <row r="8" spans="1:9">
      <c r="A8" s="342">
        <v>18251</v>
      </c>
      <c r="B8" s="333">
        <f>VLOOKUP($A8,'DB Link APP'!$A$2:$T$323,16,FALSE)</f>
        <v>304668</v>
      </c>
      <c r="C8" s="434">
        <v>298953</v>
      </c>
      <c r="D8" s="334">
        <f t="shared" si="0"/>
        <v>298953</v>
      </c>
      <c r="E8" s="290">
        <v>0</v>
      </c>
      <c r="F8" s="290">
        <v>0</v>
      </c>
      <c r="G8" s="290">
        <v>0</v>
      </c>
      <c r="H8" s="317"/>
      <c r="I8" s="317">
        <f t="shared" si="1"/>
        <v>5715</v>
      </c>
    </row>
    <row r="9" spans="1:9">
      <c r="A9" s="342">
        <v>18077</v>
      </c>
      <c r="B9" s="333">
        <f>VLOOKUP($A9,'DB Link APP'!$A$2:$T$323,16,FALSE)</f>
        <v>458634.6</v>
      </c>
      <c r="C9" s="434">
        <v>458047</v>
      </c>
      <c r="D9" s="334">
        <f t="shared" si="0"/>
        <v>458047</v>
      </c>
      <c r="E9" s="290">
        <v>0</v>
      </c>
      <c r="F9" s="290">
        <v>0</v>
      </c>
      <c r="G9" s="290">
        <v>0</v>
      </c>
      <c r="H9" s="277"/>
      <c r="I9" s="317">
        <f t="shared" si="1"/>
        <v>587.59999999997672</v>
      </c>
    </row>
    <row r="10" spans="1:9">
      <c r="A10" s="342">
        <v>18039</v>
      </c>
      <c r="B10" s="333">
        <f>VLOOKUP($A10,'DB Link APP'!$A$2:$T$323,16,FALSE)</f>
        <v>700000</v>
      </c>
      <c r="C10" s="434">
        <v>700000</v>
      </c>
      <c r="D10" s="334">
        <f t="shared" si="0"/>
        <v>700000</v>
      </c>
      <c r="E10" s="290">
        <v>0</v>
      </c>
      <c r="F10" s="290">
        <v>0</v>
      </c>
      <c r="G10" s="290">
        <v>0</v>
      </c>
      <c r="H10" s="277"/>
      <c r="I10" s="317">
        <f t="shared" si="1"/>
        <v>0</v>
      </c>
    </row>
    <row r="11" spans="1:9">
      <c r="A11" s="342">
        <v>18223</v>
      </c>
      <c r="B11" s="333">
        <f>VLOOKUP($A11,'DB Link APP'!$A$2:$T$323,16,FALSE)</f>
        <v>777900</v>
      </c>
      <c r="C11" s="434">
        <v>777900</v>
      </c>
      <c r="D11" s="334">
        <f t="shared" si="0"/>
        <v>777900</v>
      </c>
      <c r="E11" s="290">
        <v>0</v>
      </c>
      <c r="F11" s="290">
        <v>0</v>
      </c>
      <c r="G11" s="290">
        <v>0</v>
      </c>
      <c r="H11" s="277"/>
      <c r="I11" s="317">
        <f t="shared" si="1"/>
        <v>0</v>
      </c>
    </row>
    <row r="12" spans="1:9">
      <c r="A12" s="342">
        <v>18040</v>
      </c>
      <c r="B12" s="333">
        <f>VLOOKUP($A12,'DB Link APP'!$A$2:$T$323,16,FALSE)</f>
        <v>642500</v>
      </c>
      <c r="C12" s="434">
        <v>642500</v>
      </c>
      <c r="D12" s="334">
        <f t="shared" si="0"/>
        <v>642500</v>
      </c>
      <c r="E12" s="290">
        <v>0</v>
      </c>
      <c r="F12" s="290">
        <v>0</v>
      </c>
      <c r="G12" s="290">
        <v>0</v>
      </c>
      <c r="H12" s="277"/>
      <c r="I12" s="317">
        <f t="shared" si="1"/>
        <v>0</v>
      </c>
    </row>
    <row r="13" spans="1:9">
      <c r="A13" s="342">
        <v>18038</v>
      </c>
      <c r="B13" s="333">
        <f>VLOOKUP($A13,'DB Link APP'!$A$2:$T$323,16,FALSE)</f>
        <v>950000</v>
      </c>
      <c r="C13" s="434"/>
      <c r="D13" s="334">
        <f t="shared" si="0"/>
        <v>950000</v>
      </c>
      <c r="E13" s="290">
        <v>0</v>
      </c>
      <c r="F13" s="290">
        <v>0</v>
      </c>
      <c r="G13" s="290">
        <v>0</v>
      </c>
      <c r="H13" s="277"/>
      <c r="I13" s="317">
        <f t="shared" si="1"/>
        <v>0</v>
      </c>
    </row>
    <row r="14" spans="1:9">
      <c r="A14" s="342">
        <v>18162</v>
      </c>
      <c r="B14" s="333">
        <f>VLOOKUP($A14,'DB Link APP'!$A$2:$T$323,16,FALSE)</f>
        <v>1417843</v>
      </c>
      <c r="C14" s="434">
        <v>1417843</v>
      </c>
      <c r="D14" s="334">
        <f t="shared" si="0"/>
        <v>1417843</v>
      </c>
      <c r="E14" s="290">
        <v>0</v>
      </c>
      <c r="F14" s="290">
        <v>0</v>
      </c>
      <c r="G14" s="290">
        <v>0</v>
      </c>
      <c r="H14" s="277"/>
      <c r="I14" s="317">
        <f t="shared" si="1"/>
        <v>0</v>
      </c>
    </row>
    <row r="15" spans="1:9">
      <c r="A15" s="342">
        <v>18192</v>
      </c>
      <c r="B15" s="333">
        <f>VLOOKUP($A15,'DB Link APP'!$A$2:$T$323,16,FALSE)</f>
        <v>1188287</v>
      </c>
      <c r="C15" s="434"/>
      <c r="D15" s="334">
        <f t="shared" si="0"/>
        <v>1188287</v>
      </c>
      <c r="E15" s="290">
        <v>0</v>
      </c>
      <c r="F15" s="290">
        <v>0</v>
      </c>
      <c r="G15" s="290">
        <v>0</v>
      </c>
      <c r="H15" s="277"/>
      <c r="I15" s="317">
        <f t="shared" si="1"/>
        <v>0</v>
      </c>
    </row>
    <row r="16" spans="1:9">
      <c r="A16" s="342">
        <v>18372</v>
      </c>
      <c r="B16" s="333">
        <f>VLOOKUP($A16,'DB Link APP'!$A$2:$T$323,16,FALSE)</f>
        <v>500000</v>
      </c>
      <c r="C16" s="434"/>
      <c r="D16" s="334">
        <f t="shared" si="0"/>
        <v>500000</v>
      </c>
      <c r="E16" s="290">
        <v>0</v>
      </c>
      <c r="F16" s="290">
        <v>0</v>
      </c>
      <c r="G16" s="290">
        <v>0</v>
      </c>
      <c r="H16" s="277"/>
      <c r="I16" s="317">
        <f t="shared" si="1"/>
        <v>0</v>
      </c>
    </row>
    <row r="17" spans="1:9">
      <c r="A17" s="342">
        <v>18036</v>
      </c>
      <c r="B17" s="333">
        <f>VLOOKUP($A17,'DB Link APP'!$A$2:$T$323,16,FALSE)</f>
        <v>500000</v>
      </c>
      <c r="C17" s="434">
        <v>500000</v>
      </c>
      <c r="D17" s="334">
        <f t="shared" si="0"/>
        <v>500000</v>
      </c>
      <c r="E17" s="290">
        <v>0</v>
      </c>
      <c r="F17" s="290">
        <v>0</v>
      </c>
      <c r="G17" s="290">
        <v>0</v>
      </c>
      <c r="H17" s="277"/>
      <c r="I17" s="317">
        <f t="shared" si="1"/>
        <v>0</v>
      </c>
    </row>
    <row r="18" spans="1:9">
      <c r="A18" s="342">
        <v>18259</v>
      </c>
      <c r="B18" s="333">
        <f>VLOOKUP($A18,'DB Link APP'!$A$2:$T$323,16,FALSE)</f>
        <v>500000</v>
      </c>
      <c r="C18" s="434">
        <v>500000</v>
      </c>
      <c r="D18" s="334">
        <f t="shared" si="0"/>
        <v>500000</v>
      </c>
      <c r="E18" s="290">
        <v>0</v>
      </c>
      <c r="F18" s="290">
        <v>0</v>
      </c>
      <c r="G18" s="290">
        <v>0</v>
      </c>
      <c r="H18" s="277"/>
      <c r="I18" s="317">
        <f t="shared" si="1"/>
        <v>0</v>
      </c>
    </row>
    <row r="19" spans="1:9">
      <c r="A19" s="342">
        <v>18373</v>
      </c>
      <c r="B19" s="333">
        <f>VLOOKUP($A19,'DB Link APP'!$A$2:$T$323,16,FALSE)</f>
        <v>500000</v>
      </c>
      <c r="C19" s="434"/>
      <c r="D19" s="334">
        <f t="shared" si="0"/>
        <v>500000</v>
      </c>
      <c r="E19" s="290">
        <v>0</v>
      </c>
      <c r="F19" s="290">
        <v>0</v>
      </c>
      <c r="G19" s="290">
        <v>0</v>
      </c>
      <c r="H19" s="277"/>
      <c r="I19" s="317">
        <f t="shared" si="1"/>
        <v>0</v>
      </c>
    </row>
    <row r="20" spans="1:9">
      <c r="A20" s="346">
        <v>18374</v>
      </c>
      <c r="B20" s="333">
        <f>VLOOKUP($A20,'DB Link APP'!$A$2:$T$323,16,FALSE)</f>
        <v>500000</v>
      </c>
      <c r="C20" s="434"/>
      <c r="D20" s="334">
        <f t="shared" si="0"/>
        <v>500000</v>
      </c>
      <c r="E20" s="290">
        <v>0</v>
      </c>
      <c r="F20" s="290">
        <v>0</v>
      </c>
      <c r="G20" s="290">
        <v>0</v>
      </c>
      <c r="H20" s="277"/>
      <c r="I20" s="317">
        <f t="shared" si="1"/>
        <v>0</v>
      </c>
    </row>
    <row r="21" spans="1:9">
      <c r="A21" s="346">
        <v>18314</v>
      </c>
      <c r="B21" s="333">
        <f>VLOOKUP($A21,'DB Link APP'!$A$2:$T$323,16,FALSE)</f>
        <v>687666</v>
      </c>
      <c r="C21" s="434">
        <v>686427</v>
      </c>
      <c r="D21" s="334">
        <f t="shared" si="0"/>
        <v>686427</v>
      </c>
      <c r="E21" s="290">
        <v>0</v>
      </c>
      <c r="F21" s="290">
        <v>0</v>
      </c>
      <c r="G21" s="290">
        <v>0</v>
      </c>
      <c r="H21" s="277"/>
      <c r="I21" s="317">
        <f t="shared" si="1"/>
        <v>1239</v>
      </c>
    </row>
    <row r="22" spans="1:9">
      <c r="A22" s="346">
        <v>18274</v>
      </c>
      <c r="B22" s="333">
        <f>VLOOKUP($A22,'DB Link APP'!$A$2:$T$323,16,FALSE)</f>
        <v>570000</v>
      </c>
      <c r="C22" s="434">
        <v>570000</v>
      </c>
      <c r="D22" s="334">
        <f t="shared" si="0"/>
        <v>570000</v>
      </c>
      <c r="E22" s="290">
        <v>0</v>
      </c>
      <c r="F22" s="290">
        <v>0</v>
      </c>
      <c r="G22" s="290">
        <v>0</v>
      </c>
      <c r="H22" s="277"/>
      <c r="I22" s="317">
        <f t="shared" si="1"/>
        <v>0</v>
      </c>
    </row>
    <row r="23" spans="1:9">
      <c r="A23" s="346">
        <v>18057</v>
      </c>
      <c r="B23" s="333">
        <f>VLOOKUP($A23,'DB Link APP'!$A$2:$T$323,16,FALSE)</f>
        <v>772000</v>
      </c>
      <c r="C23" s="434"/>
      <c r="D23" s="334">
        <f t="shared" si="0"/>
        <v>772000</v>
      </c>
      <c r="E23" s="290">
        <v>0</v>
      </c>
      <c r="F23" s="290">
        <v>0</v>
      </c>
      <c r="G23" s="290">
        <v>0</v>
      </c>
      <c r="H23" s="277"/>
      <c r="I23" s="317">
        <f t="shared" si="1"/>
        <v>0</v>
      </c>
    </row>
    <row r="24" spans="1:9">
      <c r="A24" s="346">
        <v>18069</v>
      </c>
      <c r="B24" s="333">
        <f>VLOOKUP($A24,'DB Link APP'!$A$2:$T$323,16,FALSE)</f>
        <v>833805</v>
      </c>
      <c r="C24" s="434">
        <v>833805</v>
      </c>
      <c r="D24" s="334">
        <f t="shared" si="0"/>
        <v>833805</v>
      </c>
      <c r="E24" s="290">
        <v>0</v>
      </c>
      <c r="F24" s="290">
        <v>0</v>
      </c>
      <c r="G24" s="290">
        <v>0</v>
      </c>
      <c r="H24" s="277"/>
      <c r="I24" s="317">
        <f t="shared" si="1"/>
        <v>0</v>
      </c>
    </row>
    <row r="25" spans="1:9">
      <c r="A25" s="346">
        <v>18363</v>
      </c>
      <c r="B25" s="333">
        <f>VLOOKUP($A25,'DB Link APP'!$A$2:$T$323,16,FALSE)</f>
        <v>0</v>
      </c>
      <c r="C25" s="434"/>
      <c r="D25" s="334">
        <f t="shared" si="0"/>
        <v>0</v>
      </c>
      <c r="E25" s="290">
        <v>0</v>
      </c>
      <c r="F25" s="290">
        <v>0</v>
      </c>
      <c r="G25" s="290">
        <v>0</v>
      </c>
      <c r="H25" s="277"/>
      <c r="I25" s="317">
        <f t="shared" si="1"/>
        <v>0</v>
      </c>
    </row>
    <row r="26" spans="1:9">
      <c r="A26" s="346">
        <v>18269</v>
      </c>
      <c r="B26" s="333">
        <f>VLOOKUP($A26,'DB Link APP'!$A$2:$T$323,16,FALSE)</f>
        <v>1500000</v>
      </c>
      <c r="C26" s="434">
        <v>1500000</v>
      </c>
      <c r="D26" s="334">
        <f t="shared" si="0"/>
        <v>1500000</v>
      </c>
      <c r="E26" s="290">
        <v>0</v>
      </c>
      <c r="F26" s="290">
        <v>0</v>
      </c>
      <c r="G26" s="290">
        <v>0</v>
      </c>
      <c r="H26" s="277"/>
      <c r="I26" s="317">
        <f t="shared" si="1"/>
        <v>0</v>
      </c>
    </row>
    <row r="27" spans="1:9">
      <c r="A27" s="346">
        <v>18361</v>
      </c>
      <c r="B27" s="333">
        <f>VLOOKUP($A27,'DB Link APP'!$A$2:$T$323,16,FALSE)</f>
        <v>890850</v>
      </c>
      <c r="C27" s="434">
        <v>890850</v>
      </c>
      <c r="D27" s="334">
        <f t="shared" si="0"/>
        <v>890850</v>
      </c>
      <c r="E27" s="290">
        <v>0</v>
      </c>
      <c r="F27" s="290">
        <v>0</v>
      </c>
      <c r="G27" s="290">
        <v>0</v>
      </c>
      <c r="H27" s="277"/>
      <c r="I27" s="317">
        <f t="shared" si="1"/>
        <v>0</v>
      </c>
    </row>
    <row r="28" spans="1:9">
      <c r="A28" s="346">
        <v>18002</v>
      </c>
      <c r="B28" s="333">
        <f>VLOOKUP($A28,'DB Link APP'!$A$2:$T$323,16,FALSE)</f>
        <v>1500000</v>
      </c>
      <c r="C28" s="434"/>
      <c r="D28" s="334">
        <f t="shared" si="0"/>
        <v>1500000</v>
      </c>
      <c r="E28" s="290">
        <v>0</v>
      </c>
      <c r="F28" s="290">
        <v>0</v>
      </c>
      <c r="G28" s="290">
        <v>0</v>
      </c>
      <c r="H28" s="277"/>
      <c r="I28" s="317">
        <f t="shared" si="1"/>
        <v>0</v>
      </c>
    </row>
    <row r="29" spans="1:9">
      <c r="A29" s="346">
        <v>18204</v>
      </c>
      <c r="B29" s="333">
        <f>VLOOKUP($A29,'DB Link APP'!$A$2:$T$323,16,FALSE)</f>
        <v>1500000</v>
      </c>
      <c r="C29" s="434"/>
      <c r="D29" s="334">
        <f t="shared" si="0"/>
        <v>1500000</v>
      </c>
      <c r="E29" s="290">
        <v>0</v>
      </c>
      <c r="F29" s="290">
        <v>0</v>
      </c>
      <c r="G29" s="290">
        <v>0</v>
      </c>
      <c r="H29" s="277"/>
      <c r="I29" s="317">
        <f t="shared" si="1"/>
        <v>0</v>
      </c>
    </row>
    <row r="30" spans="1:9">
      <c r="A30" s="346">
        <v>18214</v>
      </c>
      <c r="B30" s="333">
        <f>VLOOKUP($A30,'DB Link APP'!$A$2:$T$323,16,FALSE)</f>
        <v>1009000</v>
      </c>
      <c r="C30" s="434">
        <v>1001246</v>
      </c>
      <c r="D30" s="334">
        <f t="shared" si="0"/>
        <v>1001246</v>
      </c>
      <c r="E30" s="290">
        <v>0</v>
      </c>
      <c r="F30" s="290">
        <v>0</v>
      </c>
      <c r="G30" s="290">
        <v>0</v>
      </c>
      <c r="H30" s="277"/>
      <c r="I30" s="317">
        <f t="shared" si="1"/>
        <v>7754</v>
      </c>
    </row>
    <row r="31" spans="1:9">
      <c r="A31" s="346">
        <v>18368</v>
      </c>
      <c r="B31" s="333">
        <f>VLOOKUP($A31,'DB Link APP'!$A$2:$T$323,16,FALSE)</f>
        <v>1500000</v>
      </c>
      <c r="C31" s="434">
        <v>1500000</v>
      </c>
      <c r="D31" s="334">
        <f t="shared" si="0"/>
        <v>1500000</v>
      </c>
      <c r="E31" s="290">
        <v>0</v>
      </c>
      <c r="F31" s="290">
        <v>0</v>
      </c>
      <c r="G31" s="290">
        <v>0</v>
      </c>
      <c r="H31" s="277"/>
      <c r="I31" s="317">
        <f t="shared" si="1"/>
        <v>0</v>
      </c>
    </row>
    <row r="32" spans="1:9">
      <c r="A32" s="346">
        <v>18376</v>
      </c>
      <c r="B32" s="333">
        <f>VLOOKUP($A32,'DB Link APP'!$A$2:$T$323,16,FALSE)</f>
        <v>1500000</v>
      </c>
      <c r="C32" s="434">
        <v>1500000</v>
      </c>
      <c r="D32" s="334">
        <f t="shared" si="0"/>
        <v>1500000</v>
      </c>
      <c r="E32" s="290">
        <v>0</v>
      </c>
      <c r="F32" s="290">
        <v>0</v>
      </c>
      <c r="G32" s="290">
        <v>0</v>
      </c>
      <c r="H32" s="277"/>
      <c r="I32" s="317">
        <f t="shared" si="1"/>
        <v>0</v>
      </c>
    </row>
    <row r="33" spans="1:9">
      <c r="A33" s="346">
        <v>18298</v>
      </c>
      <c r="B33" s="333">
        <f>VLOOKUP($A33,'DB Link APP'!$A$2:$T$323,16,FALSE)</f>
        <v>1500000</v>
      </c>
      <c r="C33" s="434"/>
      <c r="D33" s="334">
        <f t="shared" si="0"/>
        <v>1500000</v>
      </c>
      <c r="E33" s="290">
        <v>0</v>
      </c>
      <c r="F33" s="290">
        <v>0</v>
      </c>
      <c r="G33" s="290">
        <v>0</v>
      </c>
      <c r="H33" s="277"/>
      <c r="I33" s="317">
        <f t="shared" si="1"/>
        <v>0</v>
      </c>
    </row>
    <row r="34" spans="1:9">
      <c r="A34" s="346">
        <v>18263</v>
      </c>
      <c r="B34" s="333">
        <f>VLOOKUP($A34,'DB Link APP'!$A$2:$T$323,16,FALSE)</f>
        <v>0</v>
      </c>
      <c r="C34" s="434"/>
      <c r="D34" s="334">
        <f t="shared" si="0"/>
        <v>0</v>
      </c>
      <c r="E34" s="290">
        <v>0</v>
      </c>
      <c r="F34" s="290">
        <v>0</v>
      </c>
      <c r="G34" s="290">
        <v>0</v>
      </c>
      <c r="H34" s="277"/>
      <c r="I34" s="317">
        <f t="shared" si="1"/>
        <v>0</v>
      </c>
    </row>
    <row r="35" spans="1:9">
      <c r="A35" s="346">
        <v>18264</v>
      </c>
      <c r="B35" s="333">
        <f>VLOOKUP($A35,'DB Link APP'!$A$2:$T$323,16,FALSE)</f>
        <v>0</v>
      </c>
      <c r="C35" s="434"/>
      <c r="D35" s="334">
        <f t="shared" si="0"/>
        <v>0</v>
      </c>
      <c r="E35" s="290">
        <v>0</v>
      </c>
      <c r="F35" s="290">
        <v>0</v>
      </c>
      <c r="G35" s="290">
        <v>0</v>
      </c>
      <c r="H35" s="277"/>
      <c r="I35" s="317">
        <f t="shared" si="1"/>
        <v>0</v>
      </c>
    </row>
    <row r="36" spans="1:9">
      <c r="A36" s="346">
        <v>18024</v>
      </c>
      <c r="B36" s="333">
        <f>VLOOKUP($A36,'DB Link APP'!$A$2:$T$323,16,FALSE)</f>
        <v>1500000</v>
      </c>
      <c r="C36" s="434"/>
      <c r="D36" s="334">
        <f t="shared" si="0"/>
        <v>1500000</v>
      </c>
      <c r="E36" s="290">
        <v>0</v>
      </c>
      <c r="F36" s="290">
        <v>0</v>
      </c>
      <c r="G36" s="290">
        <v>0</v>
      </c>
      <c r="H36" s="277"/>
      <c r="I36" s="317">
        <f t="shared" si="1"/>
        <v>0</v>
      </c>
    </row>
    <row r="37" spans="1:9">
      <c r="A37" s="346">
        <v>18087</v>
      </c>
      <c r="B37" s="333">
        <f>VLOOKUP($A37,'DB Link APP'!$A$2:$T$323,16,FALSE)</f>
        <v>1500000</v>
      </c>
      <c r="C37" s="434"/>
      <c r="D37" s="334">
        <f t="shared" si="0"/>
        <v>1500000</v>
      </c>
      <c r="E37" s="290">
        <v>0</v>
      </c>
      <c r="F37" s="290">
        <v>0</v>
      </c>
      <c r="G37" s="290">
        <v>0</v>
      </c>
      <c r="H37" s="277"/>
      <c r="I37" s="317">
        <f t="shared" si="1"/>
        <v>0</v>
      </c>
    </row>
    <row r="38" spans="1:9">
      <c r="A38" s="346">
        <v>18220</v>
      </c>
      <c r="B38" s="333">
        <f>VLOOKUP($A38,'DB Link APP'!$A$2:$T$323,16,FALSE)</f>
        <v>1500000</v>
      </c>
      <c r="C38" s="434"/>
      <c r="D38" s="334">
        <f t="shared" si="0"/>
        <v>1500000</v>
      </c>
      <c r="E38" s="290">
        <v>0</v>
      </c>
      <c r="F38" s="290">
        <v>0</v>
      </c>
      <c r="G38" s="290">
        <v>0</v>
      </c>
      <c r="H38" s="277"/>
      <c r="I38" s="317">
        <f t="shared" si="1"/>
        <v>0</v>
      </c>
    </row>
    <row r="39" spans="1:9">
      <c r="A39" s="346">
        <v>18221</v>
      </c>
      <c r="B39" s="333">
        <f>VLOOKUP($A39,'DB Link APP'!$A$2:$T$323,16,FALSE)</f>
        <v>1500000</v>
      </c>
      <c r="C39" s="434">
        <v>1500000</v>
      </c>
      <c r="D39" s="334">
        <f t="shared" si="0"/>
        <v>1500000</v>
      </c>
      <c r="E39" s="290">
        <v>0</v>
      </c>
      <c r="F39" s="290">
        <v>0</v>
      </c>
      <c r="G39" s="290">
        <v>0</v>
      </c>
      <c r="H39" s="277"/>
      <c r="I39" s="317">
        <f t="shared" si="1"/>
        <v>0</v>
      </c>
    </row>
    <row r="40" spans="1:9">
      <c r="A40" s="346">
        <v>18309</v>
      </c>
      <c r="B40" s="333">
        <f>VLOOKUP($A40,'DB Link APP'!$A$2:$T$323,16,FALSE)</f>
        <v>0</v>
      </c>
      <c r="C40" s="434"/>
      <c r="D40" s="334">
        <f t="shared" si="0"/>
        <v>0</v>
      </c>
      <c r="E40" s="290">
        <v>0</v>
      </c>
      <c r="F40" s="290">
        <v>0</v>
      </c>
      <c r="G40" s="290">
        <v>0</v>
      </c>
      <c r="H40" s="277"/>
      <c r="I40" s="317">
        <f t="shared" si="1"/>
        <v>0</v>
      </c>
    </row>
    <row r="41" spans="1:9">
      <c r="A41" s="346">
        <v>18000</v>
      </c>
      <c r="B41" s="333">
        <f>VLOOKUP($A41,'DB Link APP'!$A$2:$T$323,16,FALSE)</f>
        <v>1500000</v>
      </c>
      <c r="C41" s="434"/>
      <c r="D41" s="334">
        <f t="shared" si="0"/>
        <v>1500000</v>
      </c>
      <c r="E41" s="290">
        <v>0</v>
      </c>
      <c r="F41" s="290">
        <v>0</v>
      </c>
      <c r="G41" s="290">
        <v>0</v>
      </c>
      <c r="H41" s="277"/>
      <c r="I41" s="317">
        <f t="shared" si="1"/>
        <v>0</v>
      </c>
    </row>
    <row r="42" spans="1:9">
      <c r="A42" s="346">
        <v>18091</v>
      </c>
      <c r="B42" s="333">
        <f>VLOOKUP($A42,'DB Link APP'!$A$2:$T$323,16,FALSE)</f>
        <v>1500000</v>
      </c>
      <c r="C42" s="434">
        <v>1500000</v>
      </c>
      <c r="D42" s="334">
        <f t="shared" si="0"/>
        <v>1500000</v>
      </c>
      <c r="E42" s="290">
        <v>0</v>
      </c>
      <c r="F42" s="290">
        <v>0</v>
      </c>
      <c r="G42" s="290">
        <v>0</v>
      </c>
      <c r="H42" s="277"/>
      <c r="I42" s="317">
        <f t="shared" si="1"/>
        <v>0</v>
      </c>
    </row>
    <row r="43" spans="1:9">
      <c r="A43" s="346">
        <v>18096</v>
      </c>
      <c r="B43" s="333">
        <f>VLOOKUP($A43,'DB Link APP'!$A$2:$T$323,16,FALSE)</f>
        <v>1500000</v>
      </c>
      <c r="C43" s="434">
        <v>1500000</v>
      </c>
      <c r="D43" s="334">
        <f t="shared" si="0"/>
        <v>1500000</v>
      </c>
      <c r="E43" s="290">
        <v>0</v>
      </c>
      <c r="F43" s="290">
        <v>0</v>
      </c>
      <c r="G43" s="290">
        <v>0</v>
      </c>
      <c r="H43" s="277"/>
      <c r="I43" s="317">
        <f t="shared" si="1"/>
        <v>0</v>
      </c>
    </row>
    <row r="44" spans="1:9">
      <c r="A44" s="346">
        <v>18388</v>
      </c>
      <c r="B44" s="333">
        <f>VLOOKUP($A44,'DB Link APP'!$A$2:$T$323,16,FALSE)</f>
        <v>741387</v>
      </c>
      <c r="C44" s="434"/>
      <c r="D44" s="334">
        <f t="shared" si="0"/>
        <v>741387</v>
      </c>
      <c r="E44" s="290">
        <v>0</v>
      </c>
      <c r="F44" s="290">
        <v>0</v>
      </c>
      <c r="G44" s="290">
        <v>0</v>
      </c>
      <c r="H44" s="277"/>
      <c r="I44" s="317">
        <f t="shared" si="1"/>
        <v>0</v>
      </c>
    </row>
    <row r="45" spans="1:9">
      <c r="A45" s="346">
        <v>18067</v>
      </c>
      <c r="B45" s="333">
        <f>VLOOKUP($A45,'DB Link APP'!$A$2:$T$323,16,FALSE)</f>
        <v>1500000</v>
      </c>
      <c r="C45" s="434">
        <v>1500000</v>
      </c>
      <c r="D45" s="334">
        <f t="shared" si="0"/>
        <v>1500000</v>
      </c>
      <c r="E45" s="290">
        <v>0</v>
      </c>
      <c r="F45" s="290">
        <v>0</v>
      </c>
      <c r="G45" s="290">
        <v>0</v>
      </c>
      <c r="H45" s="277"/>
      <c r="I45" s="317">
        <f t="shared" si="1"/>
        <v>0</v>
      </c>
    </row>
    <row r="46" spans="1:9">
      <c r="A46" s="346">
        <v>18068</v>
      </c>
      <c r="B46" s="333">
        <f>VLOOKUP($A46,'DB Link APP'!$A$2:$T$323,16,FALSE)</f>
        <v>1500000</v>
      </c>
      <c r="C46" s="434"/>
      <c r="D46" s="334">
        <f t="shared" si="0"/>
        <v>1500000</v>
      </c>
      <c r="E46" s="290">
        <v>0</v>
      </c>
      <c r="F46" s="290">
        <v>0</v>
      </c>
      <c r="G46" s="290">
        <v>0</v>
      </c>
      <c r="H46" s="277"/>
      <c r="I46" s="317">
        <f t="shared" si="1"/>
        <v>0</v>
      </c>
    </row>
    <row r="47" spans="1:9">
      <c r="A47" s="346">
        <v>18064</v>
      </c>
      <c r="B47" s="333">
        <f>VLOOKUP($A47,'DB Link APP'!$A$2:$T$323,16,FALSE)</f>
        <v>1500000</v>
      </c>
      <c r="C47" s="434"/>
      <c r="D47" s="334">
        <f t="shared" si="0"/>
        <v>1500000</v>
      </c>
      <c r="E47" s="290">
        <v>0</v>
      </c>
      <c r="F47" s="290">
        <v>0</v>
      </c>
      <c r="G47" s="290">
        <v>0</v>
      </c>
      <c r="H47" s="277"/>
      <c r="I47" s="317">
        <f t="shared" si="1"/>
        <v>0</v>
      </c>
    </row>
    <row r="48" spans="1:9">
      <c r="A48" s="346">
        <v>18267</v>
      </c>
      <c r="B48" s="333">
        <f>VLOOKUP($A48,'DB Link APP'!$A$2:$T$323,16,FALSE)</f>
        <v>0</v>
      </c>
      <c r="C48" s="434"/>
      <c r="D48" s="334">
        <f t="shared" si="0"/>
        <v>0</v>
      </c>
      <c r="E48" s="290">
        <v>0</v>
      </c>
      <c r="F48" s="290">
        <v>0</v>
      </c>
      <c r="G48" s="290">
        <v>0</v>
      </c>
      <c r="H48" s="277"/>
      <c r="I48" s="317">
        <f t="shared" si="1"/>
        <v>0</v>
      </c>
    </row>
    <row r="49" spans="1:9">
      <c r="A49" s="346">
        <v>18018</v>
      </c>
      <c r="B49" s="333">
        <f>VLOOKUP($A49,'DB Link APP'!$A$2:$T$323,16,FALSE)</f>
        <v>1500000</v>
      </c>
      <c r="C49" s="434">
        <v>1500000</v>
      </c>
      <c r="D49" s="334">
        <f t="shared" si="0"/>
        <v>1500000</v>
      </c>
      <c r="E49" s="290">
        <v>0</v>
      </c>
      <c r="F49" s="290">
        <v>0</v>
      </c>
      <c r="G49" s="290">
        <v>0</v>
      </c>
      <c r="H49" s="277"/>
      <c r="I49" s="317">
        <f t="shared" si="1"/>
        <v>0</v>
      </c>
    </row>
    <row r="50" spans="1:9">
      <c r="A50" s="359">
        <v>18152</v>
      </c>
      <c r="B50" s="333">
        <f>VLOOKUP($A50,'DB Link APP'!$A$2:$T$323,16,FALSE)</f>
        <v>0</v>
      </c>
      <c r="C50" s="434"/>
      <c r="D50" s="334">
        <f t="shared" si="0"/>
        <v>0</v>
      </c>
      <c r="E50" s="290">
        <v>0</v>
      </c>
      <c r="F50" s="290">
        <v>0</v>
      </c>
      <c r="G50" s="290">
        <v>0</v>
      </c>
      <c r="H50" s="277"/>
      <c r="I50" s="317">
        <f t="shared" si="1"/>
        <v>0</v>
      </c>
    </row>
    <row r="51" spans="1:9">
      <c r="A51" s="346">
        <v>18268</v>
      </c>
      <c r="B51" s="333">
        <f>VLOOKUP($A51,'DB Link APP'!$A$2:$T$323,16,FALSE)</f>
        <v>680462</v>
      </c>
      <c r="C51" s="434">
        <v>662332</v>
      </c>
      <c r="D51" s="334">
        <f t="shared" si="0"/>
        <v>662332</v>
      </c>
      <c r="E51" s="290">
        <v>0</v>
      </c>
      <c r="F51" s="290">
        <v>0</v>
      </c>
      <c r="G51" s="290">
        <v>0</v>
      </c>
      <c r="H51" s="277"/>
      <c r="I51" s="317">
        <f t="shared" si="1"/>
        <v>18130</v>
      </c>
    </row>
    <row r="52" spans="1:9">
      <c r="A52" s="358">
        <v>18106</v>
      </c>
      <c r="B52" s="333">
        <f>VLOOKUP($A52,'DB Link APP'!$A$2:$T$323,16,FALSE)</f>
        <v>0</v>
      </c>
      <c r="C52" s="434"/>
      <c r="D52" s="334">
        <f t="shared" ref="D52:D92" si="2">+IF(C52&gt;0,C52,B52)</f>
        <v>0</v>
      </c>
      <c r="E52" s="290">
        <v>0</v>
      </c>
      <c r="F52" s="290">
        <v>0</v>
      </c>
      <c r="G52" s="290">
        <v>0</v>
      </c>
      <c r="H52" s="277"/>
      <c r="I52" s="317">
        <f t="shared" ref="I52:I92" si="3">IF(C52&gt;0,B52-C52,0)</f>
        <v>0</v>
      </c>
    </row>
    <row r="53" spans="1:9">
      <c r="A53" s="346">
        <v>18143</v>
      </c>
      <c r="B53" s="333">
        <f>VLOOKUP($A53,'DB Link APP'!$A$2:$T$323,16,FALSE)</f>
        <v>0</v>
      </c>
      <c r="C53" s="434"/>
      <c r="D53" s="334">
        <f t="shared" si="2"/>
        <v>0</v>
      </c>
      <c r="E53" s="290">
        <v>0</v>
      </c>
      <c r="F53" s="290">
        <v>0</v>
      </c>
      <c r="G53" s="290">
        <v>0</v>
      </c>
      <c r="H53" s="277"/>
      <c r="I53" s="317">
        <f t="shared" si="3"/>
        <v>0</v>
      </c>
    </row>
    <row r="54" spans="1:9">
      <c r="A54" s="346">
        <v>18398</v>
      </c>
      <c r="B54" s="333">
        <f>VLOOKUP($A54,'DB Link APP'!$A$2:$T$323,16,FALSE)</f>
        <v>557602</v>
      </c>
      <c r="C54" s="434">
        <v>557602</v>
      </c>
      <c r="D54" s="334">
        <f t="shared" si="2"/>
        <v>557602</v>
      </c>
      <c r="E54" s="290">
        <v>0</v>
      </c>
      <c r="F54" s="290">
        <v>0</v>
      </c>
      <c r="G54" s="290">
        <v>0</v>
      </c>
      <c r="H54" s="277"/>
      <c r="I54" s="317">
        <f t="shared" si="3"/>
        <v>0</v>
      </c>
    </row>
    <row r="55" spans="1:9">
      <c r="A55" s="346">
        <v>18370</v>
      </c>
      <c r="B55" s="333">
        <f>VLOOKUP($A55,'DB Link APP'!$A$2:$T$323,16,FALSE)</f>
        <v>573024</v>
      </c>
      <c r="C55" s="434">
        <v>573024</v>
      </c>
      <c r="D55" s="334">
        <f t="shared" si="2"/>
        <v>573024</v>
      </c>
      <c r="E55" s="290">
        <v>0</v>
      </c>
      <c r="F55" s="290">
        <v>0</v>
      </c>
      <c r="G55" s="290">
        <v>0</v>
      </c>
      <c r="H55" s="277"/>
      <c r="I55" s="317">
        <f t="shared" si="3"/>
        <v>0</v>
      </c>
    </row>
    <row r="56" spans="1:9">
      <c r="A56" s="346">
        <v>18371</v>
      </c>
      <c r="B56" s="333">
        <f>VLOOKUP($A56,'DB Link APP'!$A$2:$T$323,16,FALSE)</f>
        <v>848813</v>
      </c>
      <c r="C56" s="434">
        <v>848813</v>
      </c>
      <c r="D56" s="334">
        <f t="shared" si="2"/>
        <v>848813</v>
      </c>
      <c r="E56" s="290">
        <v>0</v>
      </c>
      <c r="F56" s="290">
        <v>0</v>
      </c>
      <c r="G56" s="290">
        <v>0</v>
      </c>
      <c r="H56" s="277"/>
      <c r="I56" s="317">
        <f t="shared" si="3"/>
        <v>0</v>
      </c>
    </row>
    <row r="57" spans="1:9">
      <c r="A57" s="346">
        <v>18283</v>
      </c>
      <c r="B57" s="333">
        <f>VLOOKUP($A57,'DB Link APP'!$A$2:$T$323,16,FALSE)</f>
        <v>979220</v>
      </c>
      <c r="C57" s="434">
        <v>979220</v>
      </c>
      <c r="D57" s="334">
        <f t="shared" si="2"/>
        <v>979220</v>
      </c>
      <c r="E57" s="290">
        <v>0</v>
      </c>
      <c r="F57" s="290">
        <v>0</v>
      </c>
      <c r="G57" s="290">
        <v>0</v>
      </c>
      <c r="H57" s="277"/>
      <c r="I57" s="317">
        <f t="shared" si="3"/>
        <v>0</v>
      </c>
    </row>
    <row r="58" spans="1:9">
      <c r="A58" s="346">
        <v>18095</v>
      </c>
      <c r="B58" s="333">
        <f>VLOOKUP($A58,'DB Link APP'!$A$2:$T$323,16,FALSE)</f>
        <v>1067319</v>
      </c>
      <c r="C58" s="434">
        <v>1067319</v>
      </c>
      <c r="D58" s="334">
        <f t="shared" si="2"/>
        <v>1067319</v>
      </c>
      <c r="E58" s="290">
        <v>0</v>
      </c>
      <c r="F58" s="290">
        <v>0</v>
      </c>
      <c r="G58" s="290">
        <v>0</v>
      </c>
      <c r="H58" s="277"/>
      <c r="I58" s="317">
        <f t="shared" si="3"/>
        <v>0</v>
      </c>
    </row>
    <row r="59" spans="1:9">
      <c r="A59" s="346">
        <v>18305</v>
      </c>
      <c r="B59" s="333">
        <f>VLOOKUP($A59,'DB Link APP'!$A$2:$T$323,16,FALSE)</f>
        <v>613529</v>
      </c>
      <c r="C59" s="434">
        <v>600327</v>
      </c>
      <c r="D59" s="334">
        <f t="shared" si="2"/>
        <v>600327</v>
      </c>
      <c r="E59" s="290">
        <v>0</v>
      </c>
      <c r="F59" s="290">
        <v>0</v>
      </c>
      <c r="G59" s="290">
        <v>0</v>
      </c>
      <c r="H59" s="277"/>
      <c r="I59" s="317">
        <f t="shared" si="3"/>
        <v>13202</v>
      </c>
    </row>
    <row r="60" spans="1:9">
      <c r="A60" s="346">
        <v>18353</v>
      </c>
      <c r="B60" s="333">
        <f>VLOOKUP($A60,'DB Link APP'!$A$2:$T$323,16,FALSE)</f>
        <v>750000</v>
      </c>
      <c r="C60" s="434">
        <v>750000</v>
      </c>
      <c r="D60" s="334">
        <f t="shared" si="2"/>
        <v>750000</v>
      </c>
      <c r="E60" s="290">
        <v>0</v>
      </c>
      <c r="F60" s="290">
        <v>0</v>
      </c>
      <c r="G60" s="290">
        <v>0</v>
      </c>
      <c r="H60" s="277"/>
      <c r="I60" s="317">
        <f t="shared" si="3"/>
        <v>0</v>
      </c>
    </row>
    <row r="61" spans="1:9">
      <c r="A61" s="346">
        <v>18254</v>
      </c>
      <c r="B61" s="333">
        <f>VLOOKUP($A61,'DB Link APP'!$A$2:$T$323,16,FALSE)</f>
        <v>1500000</v>
      </c>
      <c r="C61" s="434">
        <v>1500000</v>
      </c>
      <c r="D61" s="334">
        <f t="shared" si="2"/>
        <v>1500000</v>
      </c>
      <c r="E61" s="290">
        <v>0</v>
      </c>
      <c r="F61" s="290">
        <v>0</v>
      </c>
      <c r="G61" s="290">
        <v>0</v>
      </c>
      <c r="H61" s="277"/>
      <c r="I61" s="317">
        <f t="shared" si="3"/>
        <v>0</v>
      </c>
    </row>
    <row r="62" spans="1:9">
      <c r="A62" s="346">
        <v>18327</v>
      </c>
      <c r="B62" s="333">
        <f>VLOOKUP($A62,'DB Link APP'!$A$2:$T$323,16,FALSE)</f>
        <v>0</v>
      </c>
      <c r="C62" s="434"/>
      <c r="D62" s="334">
        <f t="shared" si="2"/>
        <v>0</v>
      </c>
      <c r="E62" s="290">
        <v>0</v>
      </c>
      <c r="F62" s="290">
        <v>0</v>
      </c>
      <c r="G62" s="290">
        <v>0</v>
      </c>
      <c r="H62" s="277"/>
      <c r="I62" s="317">
        <f t="shared" si="3"/>
        <v>0</v>
      </c>
    </row>
    <row r="63" spans="1:9">
      <c r="A63" s="346">
        <v>18020</v>
      </c>
      <c r="B63" s="333">
        <f>VLOOKUP($A63,'DB Link APP'!$A$2:$T$323,16,FALSE)</f>
        <v>0</v>
      </c>
      <c r="C63" s="434"/>
      <c r="D63" s="334">
        <f t="shared" si="2"/>
        <v>0</v>
      </c>
      <c r="E63" s="290">
        <v>0</v>
      </c>
      <c r="F63" s="290">
        <v>0</v>
      </c>
      <c r="G63" s="290">
        <v>0</v>
      </c>
      <c r="H63" s="277"/>
      <c r="I63" s="317">
        <f t="shared" si="3"/>
        <v>0</v>
      </c>
    </row>
    <row r="64" spans="1:9">
      <c r="A64" s="346">
        <v>18218</v>
      </c>
      <c r="B64" s="333">
        <f>VLOOKUP($A64,'DB Link APP'!$A$2:$T$323,16,FALSE)</f>
        <v>1500000</v>
      </c>
      <c r="C64" s="434"/>
      <c r="D64" s="334">
        <f t="shared" si="2"/>
        <v>1500000</v>
      </c>
      <c r="E64" s="290">
        <v>0</v>
      </c>
      <c r="F64" s="290">
        <v>0</v>
      </c>
      <c r="G64" s="290">
        <v>0</v>
      </c>
      <c r="H64" s="277"/>
      <c r="I64" s="317">
        <f t="shared" si="3"/>
        <v>0</v>
      </c>
    </row>
    <row r="65" spans="1:9">
      <c r="A65" s="346">
        <v>18009</v>
      </c>
      <c r="B65" s="333">
        <f>VLOOKUP($A65,'DB Link APP'!$A$2:$T$323,16,FALSE)</f>
        <v>1499877</v>
      </c>
      <c r="C65" s="434"/>
      <c r="D65" s="334">
        <f>+IF(C65&gt;0,C65,B65)</f>
        <v>1499877</v>
      </c>
      <c r="E65" s="290">
        <v>0</v>
      </c>
      <c r="F65" s="290">
        <v>0</v>
      </c>
      <c r="G65" s="290">
        <v>0</v>
      </c>
      <c r="H65" s="277"/>
      <c r="I65" s="317">
        <f>IF(C65&gt;0,B65-C65,0)</f>
        <v>0</v>
      </c>
    </row>
    <row r="66" spans="1:9">
      <c r="A66" s="346">
        <v>18033</v>
      </c>
      <c r="B66" s="333">
        <f>VLOOKUP($A66,'DB Link APP'!$A$2:$T$323,16,FALSE)</f>
        <v>1286253</v>
      </c>
      <c r="C66" s="435">
        <v>1286253</v>
      </c>
      <c r="D66" s="334">
        <f>+IF(C66&gt;0,C66,B66)</f>
        <v>1286253</v>
      </c>
      <c r="E66" s="290">
        <v>0</v>
      </c>
      <c r="F66" s="290">
        <v>0</v>
      </c>
      <c r="G66" s="290">
        <v>0</v>
      </c>
      <c r="H66" s="277"/>
      <c r="I66" s="317">
        <f>IF(C66&gt;0,B66-C66,0)</f>
        <v>0</v>
      </c>
    </row>
    <row r="67" spans="1:9">
      <c r="A67" s="346">
        <v>18043</v>
      </c>
      <c r="B67" s="333">
        <f>VLOOKUP($A67,'DB Link APP'!$A$2:$T$323,16,FALSE)</f>
        <v>1500000</v>
      </c>
      <c r="C67" s="434"/>
      <c r="D67" s="334">
        <f t="shared" si="2"/>
        <v>1500000</v>
      </c>
      <c r="E67" s="290">
        <v>0</v>
      </c>
      <c r="F67" s="290">
        <v>0</v>
      </c>
      <c r="G67" s="290">
        <v>0</v>
      </c>
      <c r="H67" s="277"/>
      <c r="I67" s="317">
        <f t="shared" si="3"/>
        <v>0</v>
      </c>
    </row>
    <row r="68" spans="1:9">
      <c r="A68" s="346">
        <v>18047</v>
      </c>
      <c r="B68" s="333">
        <f>VLOOKUP($A68,'DB Link APP'!$A$2:$T$323,16,FALSE)</f>
        <v>1500000</v>
      </c>
      <c r="C68" s="434">
        <v>1500000</v>
      </c>
      <c r="D68" s="334">
        <f t="shared" si="2"/>
        <v>1500000</v>
      </c>
      <c r="E68" s="290">
        <v>0</v>
      </c>
      <c r="F68" s="290">
        <v>0</v>
      </c>
      <c r="G68" s="290">
        <v>0</v>
      </c>
      <c r="H68" s="277"/>
      <c r="I68" s="317">
        <f t="shared" si="3"/>
        <v>0</v>
      </c>
    </row>
    <row r="69" spans="1:9">
      <c r="A69" s="346">
        <v>18093</v>
      </c>
      <c r="B69" s="333">
        <f>VLOOKUP($A69,'DB Link APP'!$A$2:$T$323,16,FALSE)</f>
        <v>1500000</v>
      </c>
      <c r="C69" s="434"/>
      <c r="D69" s="334">
        <f t="shared" si="2"/>
        <v>1500000</v>
      </c>
      <c r="E69" s="290">
        <v>0</v>
      </c>
      <c r="F69" s="290">
        <v>0</v>
      </c>
      <c r="G69" s="290">
        <v>0</v>
      </c>
      <c r="H69" s="277"/>
      <c r="I69" s="317">
        <f t="shared" si="3"/>
        <v>0</v>
      </c>
    </row>
    <row r="70" spans="1:9">
      <c r="A70" s="346">
        <v>18159</v>
      </c>
      <c r="B70" s="333">
        <f>VLOOKUP($A70,'DB Link APP'!$A$2:$T$323,16,FALSE)</f>
        <v>1500000</v>
      </c>
      <c r="C70" s="434">
        <v>1500000</v>
      </c>
      <c r="D70" s="334">
        <f t="shared" si="2"/>
        <v>1500000</v>
      </c>
      <c r="E70" s="290">
        <v>0</v>
      </c>
      <c r="F70" s="290">
        <v>0</v>
      </c>
      <c r="G70" s="290">
        <v>0</v>
      </c>
      <c r="H70" s="277"/>
      <c r="I70" s="317">
        <f t="shared" si="3"/>
        <v>0</v>
      </c>
    </row>
    <row r="71" spans="1:9">
      <c r="A71" s="346">
        <v>18161</v>
      </c>
      <c r="B71" s="333">
        <f>VLOOKUP($A71,'DB Link APP'!$A$2:$T$323,16,FALSE)</f>
        <v>1500000</v>
      </c>
      <c r="C71" s="434"/>
      <c r="D71" s="334">
        <f t="shared" si="2"/>
        <v>1500000</v>
      </c>
      <c r="E71" s="290">
        <v>0</v>
      </c>
      <c r="F71" s="290">
        <v>0</v>
      </c>
      <c r="G71" s="290">
        <v>0</v>
      </c>
      <c r="H71" s="277"/>
      <c r="I71" s="317">
        <f t="shared" si="3"/>
        <v>0</v>
      </c>
    </row>
    <row r="72" spans="1:9">
      <c r="A72" s="346">
        <v>18243</v>
      </c>
      <c r="B72" s="333">
        <f>VLOOKUP($A72,'DB Link APP'!$A$2:$T$323,16,FALSE)</f>
        <v>1500000</v>
      </c>
      <c r="C72" s="434"/>
      <c r="D72" s="334">
        <f t="shared" si="2"/>
        <v>1500000</v>
      </c>
      <c r="E72" s="290">
        <v>0</v>
      </c>
      <c r="F72" s="290">
        <v>0</v>
      </c>
      <c r="G72" s="290">
        <v>0</v>
      </c>
      <c r="H72" s="277"/>
      <c r="I72" s="317">
        <f t="shared" si="3"/>
        <v>0</v>
      </c>
    </row>
    <row r="73" spans="1:9">
      <c r="A73" s="346">
        <v>18320</v>
      </c>
      <c r="B73" s="333">
        <f>VLOOKUP($A73,'DB Link APP'!$A$2:$T$323,16,FALSE)</f>
        <v>0</v>
      </c>
      <c r="C73" s="434"/>
      <c r="D73" s="334">
        <f t="shared" si="2"/>
        <v>0</v>
      </c>
      <c r="E73" s="290">
        <v>0</v>
      </c>
      <c r="F73" s="290">
        <v>0</v>
      </c>
      <c r="G73" s="290">
        <v>0</v>
      </c>
      <c r="H73" s="277"/>
      <c r="I73" s="317">
        <f t="shared" si="3"/>
        <v>0</v>
      </c>
    </row>
    <row r="74" spans="1:9">
      <c r="A74" s="346">
        <v>18331</v>
      </c>
      <c r="B74" s="333">
        <f>VLOOKUP($A74,'DB Link APP'!$A$2:$T$323,16,FALSE)</f>
        <v>0</v>
      </c>
      <c r="C74" s="434"/>
      <c r="D74" s="334">
        <f t="shared" si="2"/>
        <v>0</v>
      </c>
      <c r="E74" s="290">
        <v>0</v>
      </c>
      <c r="F74" s="290">
        <v>0</v>
      </c>
      <c r="G74" s="290">
        <v>0</v>
      </c>
      <c r="H74" s="277"/>
      <c r="I74" s="317">
        <f t="shared" si="3"/>
        <v>0</v>
      </c>
    </row>
    <row r="75" spans="1:9">
      <c r="A75" s="346">
        <v>18339</v>
      </c>
      <c r="B75" s="333">
        <f>VLOOKUP($A75,'DB Link APP'!$A$2:$T$323,16,FALSE)</f>
        <v>1499877</v>
      </c>
      <c r="C75" s="434"/>
      <c r="D75" s="334">
        <f t="shared" si="2"/>
        <v>1499877</v>
      </c>
      <c r="E75" s="290">
        <v>0</v>
      </c>
      <c r="F75" s="290">
        <v>0</v>
      </c>
      <c r="G75" s="290">
        <v>0</v>
      </c>
      <c r="H75" s="277"/>
      <c r="I75" s="317">
        <f t="shared" si="3"/>
        <v>0</v>
      </c>
    </row>
    <row r="76" spans="1:9">
      <c r="A76" s="346">
        <v>18354</v>
      </c>
      <c r="B76" s="333">
        <f>VLOOKUP($A76,'DB Link APP'!$A$2:$T$323,16,FALSE)</f>
        <v>0</v>
      </c>
      <c r="C76" s="434"/>
      <c r="D76" s="334">
        <f t="shared" si="2"/>
        <v>0</v>
      </c>
      <c r="E76" s="290">
        <v>0</v>
      </c>
      <c r="F76" s="290">
        <v>0</v>
      </c>
      <c r="G76" s="290">
        <v>0</v>
      </c>
      <c r="H76" s="277"/>
      <c r="I76" s="317">
        <f t="shared" si="3"/>
        <v>0</v>
      </c>
    </row>
    <row r="77" spans="1:9">
      <c r="A77" s="346">
        <v>18355</v>
      </c>
      <c r="B77" s="333">
        <f>VLOOKUP($A77,'DB Link APP'!$A$2:$T$323,16,FALSE)</f>
        <v>1500000</v>
      </c>
      <c r="C77" s="434">
        <v>1500000</v>
      </c>
      <c r="D77" s="334">
        <f t="shared" si="2"/>
        <v>1500000</v>
      </c>
      <c r="E77" s="290">
        <v>0</v>
      </c>
      <c r="F77" s="290">
        <v>0</v>
      </c>
      <c r="G77" s="290">
        <v>0</v>
      </c>
      <c r="H77" s="277"/>
      <c r="I77" s="317">
        <f t="shared" si="3"/>
        <v>0</v>
      </c>
    </row>
    <row r="78" spans="1:9">
      <c r="A78" s="346">
        <v>18382</v>
      </c>
      <c r="B78" s="333">
        <f>VLOOKUP($A78,'DB Link APP'!$A$2:$T$323,16,FALSE)</f>
        <v>1500000</v>
      </c>
      <c r="C78" s="434"/>
      <c r="D78" s="334">
        <f t="shared" si="2"/>
        <v>1500000</v>
      </c>
      <c r="E78" s="290">
        <v>0</v>
      </c>
      <c r="F78" s="290">
        <v>0</v>
      </c>
      <c r="G78" s="290">
        <v>0</v>
      </c>
      <c r="H78" s="277"/>
      <c r="I78" s="317">
        <f t="shared" si="3"/>
        <v>0</v>
      </c>
    </row>
    <row r="79" spans="1:9">
      <c r="A79" s="346">
        <v>18383</v>
      </c>
      <c r="B79" s="333">
        <f>VLOOKUP($A79,'DB Link APP'!$A$2:$T$323,16,FALSE)</f>
        <v>1500000</v>
      </c>
      <c r="C79" s="434"/>
      <c r="D79" s="334">
        <f t="shared" si="2"/>
        <v>1500000</v>
      </c>
      <c r="E79" s="290">
        <v>0</v>
      </c>
      <c r="F79" s="290">
        <v>0</v>
      </c>
      <c r="G79" s="290">
        <v>0</v>
      </c>
      <c r="H79" s="277"/>
      <c r="I79" s="317">
        <f t="shared" si="3"/>
        <v>0</v>
      </c>
    </row>
    <row r="80" spans="1:9">
      <c r="A80" s="346">
        <v>18333</v>
      </c>
      <c r="B80" s="333">
        <f>VLOOKUP($A80,'DB Link APP'!$A$2:$T$323,16,FALSE)</f>
        <v>1459229.803964287</v>
      </c>
      <c r="C80" s="434">
        <v>1458549</v>
      </c>
      <c r="D80" s="334">
        <f t="shared" si="2"/>
        <v>1458549</v>
      </c>
      <c r="E80" s="290">
        <v>0</v>
      </c>
      <c r="F80" s="290">
        <v>0</v>
      </c>
      <c r="G80" s="290">
        <v>0</v>
      </c>
      <c r="H80" s="277"/>
      <c r="I80" s="317">
        <f t="shared" si="3"/>
        <v>680.80396428704262</v>
      </c>
    </row>
    <row r="81" spans="1:9">
      <c r="A81" s="346">
        <v>18337</v>
      </c>
      <c r="B81" s="333">
        <f>VLOOKUP($A81,'DB Link APP'!$A$2:$T$323,16,FALSE)</f>
        <v>0</v>
      </c>
      <c r="C81" s="434"/>
      <c r="D81" s="334">
        <f t="shared" si="2"/>
        <v>0</v>
      </c>
      <c r="E81" s="290">
        <v>0</v>
      </c>
      <c r="F81" s="290">
        <v>0</v>
      </c>
      <c r="G81" s="290">
        <v>0</v>
      </c>
      <c r="H81" s="277"/>
      <c r="I81" s="317">
        <f t="shared" si="3"/>
        <v>0</v>
      </c>
    </row>
    <row r="82" spans="1:9">
      <c r="A82" s="346">
        <v>18217</v>
      </c>
      <c r="B82" s="333">
        <f>VLOOKUP($A82,'DB Link APP'!$A$2:$T$323,16,FALSE)</f>
        <v>0</v>
      </c>
      <c r="C82" s="434"/>
      <c r="D82" s="334">
        <f t="shared" si="2"/>
        <v>0</v>
      </c>
      <c r="E82" s="290">
        <v>0</v>
      </c>
      <c r="F82" s="290">
        <v>0</v>
      </c>
      <c r="G82" s="290">
        <v>0</v>
      </c>
      <c r="H82" s="277"/>
      <c r="I82" s="317">
        <f t="shared" si="3"/>
        <v>0</v>
      </c>
    </row>
    <row r="83" spans="1:9">
      <c r="A83" s="346">
        <v>18137</v>
      </c>
      <c r="B83" s="333">
        <f>VLOOKUP($A83,'DB Link APP'!$A$2:$T$323,16,FALSE)</f>
        <v>1500000</v>
      </c>
      <c r="C83" s="434">
        <v>1500000</v>
      </c>
      <c r="D83" s="334">
        <f t="shared" si="2"/>
        <v>1500000</v>
      </c>
      <c r="E83" s="290">
        <v>0</v>
      </c>
      <c r="F83" s="290">
        <v>0</v>
      </c>
      <c r="G83" s="290">
        <v>0</v>
      </c>
      <c r="H83" s="277"/>
      <c r="I83" s="317">
        <f t="shared" si="3"/>
        <v>0</v>
      </c>
    </row>
    <row r="84" spans="1:9">
      <c r="A84" s="346">
        <v>18306</v>
      </c>
      <c r="B84" s="333">
        <f>VLOOKUP($A84,'DB Link APP'!$A$2:$T$323,16,FALSE)</f>
        <v>1500000</v>
      </c>
      <c r="C84" s="434">
        <v>1500000</v>
      </c>
      <c r="D84" s="334">
        <f t="shared" si="2"/>
        <v>1500000</v>
      </c>
      <c r="E84" s="290">
        <v>0</v>
      </c>
      <c r="F84" s="290">
        <v>0</v>
      </c>
      <c r="G84" s="290">
        <v>0</v>
      </c>
      <c r="H84" s="277"/>
      <c r="I84" s="317">
        <f t="shared" si="3"/>
        <v>0</v>
      </c>
    </row>
    <row r="85" spans="1:9">
      <c r="A85" s="346">
        <v>18138</v>
      </c>
      <c r="B85" s="333">
        <f>VLOOKUP($A85,'DB Link APP'!$A$2:$T$323,16,FALSE)</f>
        <v>1500000</v>
      </c>
      <c r="C85" s="434">
        <v>1500000</v>
      </c>
      <c r="D85" s="334">
        <f t="shared" si="2"/>
        <v>1500000</v>
      </c>
      <c r="E85" s="290">
        <v>0</v>
      </c>
      <c r="F85" s="290">
        <v>0</v>
      </c>
      <c r="G85" s="290">
        <v>0</v>
      </c>
      <c r="H85" s="277"/>
      <c r="I85" s="317">
        <f t="shared" si="3"/>
        <v>0</v>
      </c>
    </row>
    <row r="86" spans="1:9">
      <c r="A86" s="346">
        <v>18025</v>
      </c>
      <c r="B86" s="333">
        <f>VLOOKUP($A86,'DB Link APP'!$A$2:$T$323,16,FALSE)</f>
        <v>0</v>
      </c>
      <c r="C86" s="434"/>
      <c r="D86" s="334">
        <f t="shared" si="2"/>
        <v>0</v>
      </c>
      <c r="E86" s="290">
        <v>0</v>
      </c>
      <c r="F86" s="290">
        <v>0</v>
      </c>
      <c r="G86" s="290">
        <v>0</v>
      </c>
      <c r="H86" s="277"/>
      <c r="I86" s="317">
        <f t="shared" si="3"/>
        <v>0</v>
      </c>
    </row>
    <row r="87" spans="1:9">
      <c r="A87" s="346">
        <v>18338</v>
      </c>
      <c r="B87" s="333">
        <f>VLOOKUP($A87,'DB Link APP'!$A$2:$T$323,16,FALSE)</f>
        <v>1500000</v>
      </c>
      <c r="C87" s="434"/>
      <c r="D87" s="334">
        <f t="shared" si="2"/>
        <v>1500000</v>
      </c>
      <c r="E87" s="290">
        <v>0</v>
      </c>
      <c r="F87" s="290">
        <v>0</v>
      </c>
      <c r="G87" s="290">
        <v>0</v>
      </c>
      <c r="H87" s="277"/>
      <c r="I87" s="317">
        <f t="shared" si="3"/>
        <v>0</v>
      </c>
    </row>
    <row r="88" spans="1:9">
      <c r="A88" s="346">
        <v>18219</v>
      </c>
      <c r="B88" s="333">
        <f>VLOOKUP($A88,'DB Link APP'!$A$2:$T$323,16,FALSE)</f>
        <v>0</v>
      </c>
      <c r="C88" s="434"/>
      <c r="D88" s="334">
        <f t="shared" si="2"/>
        <v>0</v>
      </c>
      <c r="E88" s="290">
        <v>0</v>
      </c>
      <c r="F88" s="290">
        <v>0</v>
      </c>
      <c r="G88" s="290">
        <v>0</v>
      </c>
      <c r="H88" s="277"/>
      <c r="I88" s="317">
        <f t="shared" si="3"/>
        <v>0</v>
      </c>
    </row>
    <row r="89" spans="1:9">
      <c r="A89" s="346">
        <v>18026</v>
      </c>
      <c r="B89" s="333">
        <f>VLOOKUP($A89,'DB Link APP'!$A$2:$T$323,16,FALSE)</f>
        <v>500000</v>
      </c>
      <c r="C89" s="434">
        <v>500000</v>
      </c>
      <c r="D89" s="334">
        <f t="shared" si="2"/>
        <v>500000</v>
      </c>
      <c r="E89" s="290">
        <v>0</v>
      </c>
      <c r="F89" s="290">
        <v>0</v>
      </c>
      <c r="G89" s="290">
        <v>0</v>
      </c>
      <c r="H89" s="277"/>
      <c r="I89" s="317">
        <f t="shared" si="3"/>
        <v>0</v>
      </c>
    </row>
    <row r="90" spans="1:9">
      <c r="A90" s="346">
        <v>18245</v>
      </c>
      <c r="B90" s="333">
        <f>VLOOKUP($A90,'DB Link APP'!$A$2:$T$323,16,FALSE)</f>
        <v>500000</v>
      </c>
      <c r="C90" s="434">
        <v>500000</v>
      </c>
      <c r="D90" s="334">
        <f t="shared" si="2"/>
        <v>500000</v>
      </c>
      <c r="E90" s="290">
        <v>0</v>
      </c>
      <c r="F90" s="290">
        <v>0</v>
      </c>
      <c r="G90" s="290">
        <v>0</v>
      </c>
      <c r="H90" s="277"/>
      <c r="I90" s="317">
        <f t="shared" si="3"/>
        <v>0</v>
      </c>
    </row>
    <row r="91" spans="1:9">
      <c r="A91" s="346">
        <v>18099</v>
      </c>
      <c r="B91" s="333">
        <f>VLOOKUP($A91,'DB Link APP'!$A$2:$T$323,16,FALSE)</f>
        <v>1500000</v>
      </c>
      <c r="C91" s="434">
        <v>1500000</v>
      </c>
      <c r="D91" s="334">
        <f t="shared" si="2"/>
        <v>1500000</v>
      </c>
      <c r="E91" s="290">
        <v>0</v>
      </c>
      <c r="F91" s="290">
        <v>0</v>
      </c>
      <c r="G91" s="290">
        <v>0</v>
      </c>
      <c r="H91" s="277"/>
      <c r="I91" s="317">
        <f t="shared" si="3"/>
        <v>0</v>
      </c>
    </row>
    <row r="92" spans="1:9">
      <c r="A92" s="346">
        <v>18391</v>
      </c>
      <c r="B92" s="333">
        <f>VLOOKUP($A92,'DB Link APP'!$A$2:$T$323,16,FALSE)</f>
        <v>0</v>
      </c>
      <c r="C92" s="434"/>
      <c r="D92" s="334">
        <f t="shared" si="2"/>
        <v>0</v>
      </c>
      <c r="E92" s="290">
        <v>0</v>
      </c>
      <c r="F92" s="290">
        <v>0</v>
      </c>
      <c r="G92" s="290">
        <v>0</v>
      </c>
      <c r="H92" s="277"/>
      <c r="I92" s="317">
        <f t="shared" si="3"/>
        <v>0</v>
      </c>
    </row>
    <row r="93" spans="1:9">
      <c r="A93" s="346">
        <v>18015</v>
      </c>
      <c r="B93" s="333">
        <f>VLOOKUP($A93,'DB Link APP'!$A$2:$T$323,16,FALSE)</f>
        <v>1010620</v>
      </c>
      <c r="C93" s="434">
        <v>1010620</v>
      </c>
      <c r="D93" s="334">
        <f t="shared" ref="D93:D100" si="4">+IF(C93&gt;0,C93,B93)</f>
        <v>1010620</v>
      </c>
      <c r="E93" s="290">
        <v>0</v>
      </c>
      <c r="F93" s="290">
        <v>0</v>
      </c>
      <c r="G93" s="290">
        <v>0</v>
      </c>
      <c r="H93" s="277"/>
      <c r="I93" s="317">
        <f t="shared" ref="I93:I100" si="5">IF(C93&gt;0,B93-C93,0)</f>
        <v>0</v>
      </c>
    </row>
    <row r="94" spans="1:9">
      <c r="A94" s="346">
        <v>18081</v>
      </c>
      <c r="B94" s="333">
        <f>VLOOKUP($A94,'DB Link APP'!$A$2:$T$323,16,FALSE)</f>
        <v>1500000</v>
      </c>
      <c r="C94" s="434">
        <v>1500000</v>
      </c>
      <c r="D94" s="334">
        <f t="shared" si="4"/>
        <v>1500000</v>
      </c>
      <c r="E94" s="290">
        <v>0</v>
      </c>
      <c r="F94" s="290">
        <v>0</v>
      </c>
      <c r="G94" s="290">
        <v>0</v>
      </c>
      <c r="H94" s="277"/>
      <c r="I94" s="317">
        <f t="shared" si="5"/>
        <v>0</v>
      </c>
    </row>
    <row r="95" spans="1:9">
      <c r="A95" s="346">
        <v>18323</v>
      </c>
      <c r="B95" s="333">
        <f>VLOOKUP($A95,'DB Link APP'!$A$2:$T$323,16,FALSE)</f>
        <v>1295300</v>
      </c>
      <c r="C95" s="434"/>
      <c r="D95" s="334">
        <f t="shared" si="4"/>
        <v>1295300</v>
      </c>
      <c r="E95" s="290">
        <v>0</v>
      </c>
      <c r="F95" s="290">
        <v>0</v>
      </c>
      <c r="G95" s="290">
        <v>0</v>
      </c>
      <c r="H95" s="277"/>
      <c r="I95" s="317">
        <f t="shared" si="5"/>
        <v>0</v>
      </c>
    </row>
    <row r="96" spans="1:9">
      <c r="A96" s="346">
        <v>18335</v>
      </c>
      <c r="B96" s="333">
        <f>VLOOKUP($A96,'DB Link APP'!$A$2:$T$323,16,FALSE)</f>
        <v>1500000</v>
      </c>
      <c r="C96" s="434">
        <v>1500000</v>
      </c>
      <c r="D96" s="334">
        <f t="shared" si="4"/>
        <v>1500000</v>
      </c>
      <c r="E96" s="290">
        <v>0</v>
      </c>
      <c r="F96" s="290">
        <v>0</v>
      </c>
      <c r="G96" s="290">
        <v>0</v>
      </c>
      <c r="H96" s="277"/>
      <c r="I96" s="317">
        <f t="shared" si="5"/>
        <v>0</v>
      </c>
    </row>
    <row r="97" spans="1:9">
      <c r="A97" s="346">
        <v>18126</v>
      </c>
      <c r="B97" s="333">
        <f>VLOOKUP($A97,'DB Link APP'!$A$2:$T$323,16,FALSE)</f>
        <v>818762</v>
      </c>
      <c r="C97" s="434">
        <v>818762</v>
      </c>
      <c r="D97" s="334">
        <f t="shared" si="4"/>
        <v>818762</v>
      </c>
      <c r="E97" s="290">
        <v>0</v>
      </c>
      <c r="F97" s="290">
        <v>0</v>
      </c>
      <c r="G97" s="290">
        <v>0</v>
      </c>
      <c r="H97" s="277"/>
      <c r="I97" s="317">
        <f t="shared" si="5"/>
        <v>0</v>
      </c>
    </row>
    <row r="98" spans="1:9">
      <c r="A98" s="346">
        <v>18058</v>
      </c>
      <c r="B98" s="333">
        <f>VLOOKUP($A98,'DB Link APP'!$A$2:$T$323,16,FALSE)</f>
        <v>1500000</v>
      </c>
      <c r="C98" s="434">
        <v>1500000</v>
      </c>
      <c r="D98" s="334">
        <f t="shared" si="4"/>
        <v>1500000</v>
      </c>
      <c r="E98" s="290">
        <v>0</v>
      </c>
      <c r="F98" s="290">
        <v>0</v>
      </c>
      <c r="G98" s="290">
        <v>0</v>
      </c>
      <c r="H98" s="277"/>
      <c r="I98" s="317">
        <f t="shared" si="5"/>
        <v>0</v>
      </c>
    </row>
    <row r="99" spans="1:9">
      <c r="A99" s="346">
        <v>18019</v>
      </c>
      <c r="B99" s="333">
        <f>VLOOKUP($A99,'DB Link APP'!$A$2:$T$323,16,FALSE)</f>
        <v>500000</v>
      </c>
      <c r="C99" s="434">
        <v>500000</v>
      </c>
      <c r="D99" s="334">
        <f t="shared" si="4"/>
        <v>500000</v>
      </c>
      <c r="E99" s="290">
        <v>0</v>
      </c>
      <c r="F99" s="290">
        <v>0</v>
      </c>
      <c r="G99" s="290">
        <v>0</v>
      </c>
      <c r="H99" s="277"/>
      <c r="I99" s="317">
        <f t="shared" si="5"/>
        <v>0</v>
      </c>
    </row>
    <row r="100" spans="1:9">
      <c r="A100" s="346">
        <v>18369</v>
      </c>
      <c r="B100" s="333">
        <f>VLOOKUP($A100,'DB Link APP'!$A$2:$T$323,16,FALSE)</f>
        <v>500000</v>
      </c>
      <c r="C100" s="434">
        <v>500000</v>
      </c>
      <c r="D100" s="334">
        <f t="shared" si="4"/>
        <v>500000</v>
      </c>
      <c r="E100" s="290">
        <v>0</v>
      </c>
      <c r="F100" s="290">
        <v>0</v>
      </c>
      <c r="G100" s="290">
        <v>0</v>
      </c>
      <c r="H100" s="277"/>
      <c r="I100" s="317">
        <f t="shared" si="5"/>
        <v>0</v>
      </c>
    </row>
    <row r="101" spans="1:9">
      <c r="A101" s="346">
        <v>18086</v>
      </c>
      <c r="B101" s="333">
        <f>VLOOKUP($A101,'DB Link APP'!$A$2:$T$323,16,FALSE)</f>
        <v>1490824</v>
      </c>
      <c r="C101" s="434"/>
      <c r="D101" s="334">
        <f t="shared" ref="D101" si="6">+IF(C101&gt;0,C101,B101)</f>
        <v>1490824</v>
      </c>
      <c r="E101" s="290">
        <v>0</v>
      </c>
      <c r="F101" s="290">
        <v>0</v>
      </c>
      <c r="G101" s="290">
        <v>0</v>
      </c>
      <c r="H101" s="277"/>
      <c r="I101" s="317">
        <f t="shared" ref="I101" si="7">IF(C101&gt;0,B101-C101,0)</f>
        <v>0</v>
      </c>
    </row>
    <row r="102" spans="1:9">
      <c r="A102" s="346">
        <v>18052</v>
      </c>
      <c r="B102" s="333">
        <f>VLOOKUP($A102,'DB Link APP'!$A$2:$T$323,16,FALSE)</f>
        <v>1467404</v>
      </c>
      <c r="C102" s="434"/>
      <c r="D102" s="334">
        <f t="shared" ref="D102:D142" si="8">+IF(C102&gt;0,C102,B102)</f>
        <v>1467404</v>
      </c>
      <c r="E102" s="290">
        <v>0</v>
      </c>
      <c r="F102" s="290">
        <v>0</v>
      </c>
      <c r="G102" s="290">
        <v>0</v>
      </c>
      <c r="H102" s="277"/>
      <c r="I102" s="317">
        <f t="shared" ref="I102:I142" si="9">IF(C102&gt;0,B102-C102,0)</f>
        <v>0</v>
      </c>
    </row>
    <row r="103" spans="1:9">
      <c r="A103" s="346">
        <v>18054</v>
      </c>
      <c r="B103" s="333">
        <f>VLOOKUP($A103,'DB Link APP'!$A$2:$T$323,16,FALSE)</f>
        <v>1500000</v>
      </c>
      <c r="C103" s="434"/>
      <c r="D103" s="334">
        <f t="shared" si="8"/>
        <v>1500000</v>
      </c>
      <c r="E103" s="290">
        <v>0</v>
      </c>
      <c r="F103" s="290">
        <v>0</v>
      </c>
      <c r="G103" s="290">
        <v>0</v>
      </c>
      <c r="H103" s="277"/>
      <c r="I103" s="317">
        <f t="shared" si="9"/>
        <v>0</v>
      </c>
    </row>
    <row r="104" spans="1:9">
      <c r="A104" s="346">
        <v>18084</v>
      </c>
      <c r="B104" s="333">
        <f>VLOOKUP($A104,'DB Link APP'!$A$2:$T$323,16,FALSE)</f>
        <v>1500000</v>
      </c>
      <c r="C104" s="434">
        <v>1500000</v>
      </c>
      <c r="D104" s="334">
        <f t="shared" si="8"/>
        <v>1500000</v>
      </c>
      <c r="E104" s="290">
        <v>0</v>
      </c>
      <c r="F104" s="290">
        <v>0</v>
      </c>
      <c r="G104" s="290">
        <v>0</v>
      </c>
      <c r="H104" s="277"/>
      <c r="I104" s="317">
        <f t="shared" si="9"/>
        <v>0</v>
      </c>
    </row>
    <row r="105" spans="1:9">
      <c r="A105" s="346">
        <v>18273</v>
      </c>
      <c r="B105" s="333">
        <f>VLOOKUP($A105,'DB Link APP'!$A$2:$T$323,16,FALSE)</f>
        <v>1182642</v>
      </c>
      <c r="C105" s="434">
        <v>1161298</v>
      </c>
      <c r="D105" s="334">
        <f t="shared" si="8"/>
        <v>1161298</v>
      </c>
      <c r="E105" s="290">
        <v>0</v>
      </c>
      <c r="F105" s="290">
        <v>0</v>
      </c>
      <c r="G105" s="290">
        <v>0</v>
      </c>
      <c r="H105" s="277"/>
      <c r="I105" s="317">
        <f t="shared" si="9"/>
        <v>21344</v>
      </c>
    </row>
    <row r="106" spans="1:9">
      <c r="A106" s="346">
        <v>18053</v>
      </c>
      <c r="B106" s="333">
        <f>VLOOKUP($A106,'DB Link APP'!$A$2:$T$323,16,FALSE)</f>
        <v>0</v>
      </c>
      <c r="C106" s="434"/>
      <c r="D106" s="334">
        <f t="shared" si="8"/>
        <v>0</v>
      </c>
      <c r="E106" s="290">
        <v>0</v>
      </c>
      <c r="F106" s="290">
        <v>0</v>
      </c>
      <c r="G106" s="290">
        <v>0</v>
      </c>
      <c r="H106" s="277"/>
      <c r="I106" s="317">
        <f t="shared" si="9"/>
        <v>0</v>
      </c>
    </row>
    <row r="107" spans="1:9">
      <c r="A107" s="346">
        <v>18289</v>
      </c>
      <c r="B107" s="333">
        <f>VLOOKUP($A107,'DB Link APP'!$A$2:$T$323,16,FALSE)</f>
        <v>975000</v>
      </c>
      <c r="C107" s="434">
        <v>975000</v>
      </c>
      <c r="D107" s="334">
        <f t="shared" si="8"/>
        <v>975000</v>
      </c>
      <c r="E107" s="290">
        <v>0</v>
      </c>
      <c r="F107" s="290">
        <v>0</v>
      </c>
      <c r="G107" s="290">
        <v>0</v>
      </c>
      <c r="H107" s="277"/>
      <c r="I107" s="317">
        <f t="shared" si="9"/>
        <v>0</v>
      </c>
    </row>
    <row r="108" spans="1:9">
      <c r="A108" s="346">
        <v>18166</v>
      </c>
      <c r="B108" s="333">
        <f>VLOOKUP($A108,'DB Link APP'!$A$2:$T$323,16,FALSE)</f>
        <v>0</v>
      </c>
      <c r="C108" s="434"/>
      <c r="D108" s="334">
        <f t="shared" si="8"/>
        <v>0</v>
      </c>
      <c r="E108" s="290">
        <v>0</v>
      </c>
      <c r="F108" s="290">
        <v>0</v>
      </c>
      <c r="G108" s="290">
        <v>0</v>
      </c>
      <c r="H108" s="277"/>
      <c r="I108" s="317">
        <f t="shared" si="9"/>
        <v>0</v>
      </c>
    </row>
    <row r="109" spans="1:9">
      <c r="A109" s="346">
        <v>18142</v>
      </c>
      <c r="B109" s="333">
        <f>VLOOKUP($A109,'DB Link APP'!$A$2:$T$323,16,FALSE)</f>
        <v>1140000</v>
      </c>
      <c r="C109" s="434">
        <v>1140000</v>
      </c>
      <c r="D109" s="334">
        <f t="shared" si="8"/>
        <v>1140000</v>
      </c>
      <c r="E109" s="290">
        <v>0</v>
      </c>
      <c r="F109" s="290">
        <v>0</v>
      </c>
      <c r="G109" s="290">
        <v>0</v>
      </c>
      <c r="H109" s="277"/>
      <c r="I109" s="317">
        <f t="shared" si="9"/>
        <v>0</v>
      </c>
    </row>
    <row r="110" spans="1:9">
      <c r="A110" s="346">
        <v>18260</v>
      </c>
      <c r="B110" s="333">
        <f>VLOOKUP($A110,'DB Link APP'!$A$2:$T$323,16,FALSE)</f>
        <v>584842</v>
      </c>
      <c r="C110" s="434">
        <v>584842</v>
      </c>
      <c r="D110" s="334">
        <f t="shared" si="8"/>
        <v>584842</v>
      </c>
      <c r="E110" s="290">
        <v>0</v>
      </c>
      <c r="F110" s="290">
        <v>0</v>
      </c>
      <c r="G110" s="290">
        <v>0</v>
      </c>
      <c r="H110" s="277"/>
      <c r="I110" s="317">
        <f t="shared" si="9"/>
        <v>0</v>
      </c>
    </row>
    <row r="111" spans="1:9">
      <c r="A111" s="346">
        <v>18186</v>
      </c>
      <c r="B111" s="333">
        <f>VLOOKUP($A111,'DB Link APP'!$A$2:$T$323,16,FALSE)</f>
        <v>1291158</v>
      </c>
      <c r="C111" s="434">
        <v>1291158</v>
      </c>
      <c r="D111" s="334">
        <f t="shared" si="8"/>
        <v>1291158</v>
      </c>
      <c r="E111" s="290">
        <v>0</v>
      </c>
      <c r="F111" s="290">
        <v>0</v>
      </c>
      <c r="G111" s="290">
        <v>0</v>
      </c>
      <c r="H111" s="277"/>
      <c r="I111" s="317">
        <f t="shared" si="9"/>
        <v>0</v>
      </c>
    </row>
    <row r="112" spans="1:9">
      <c r="A112" s="346">
        <v>18261</v>
      </c>
      <c r="B112" s="333">
        <f>VLOOKUP($A112,'DB Link APP'!$A$2:$T$323,16,FALSE)</f>
        <v>762700</v>
      </c>
      <c r="C112" s="434">
        <v>762700</v>
      </c>
      <c r="D112" s="334">
        <f t="shared" si="8"/>
        <v>762700</v>
      </c>
      <c r="E112" s="290">
        <v>0</v>
      </c>
      <c r="F112" s="290">
        <v>0</v>
      </c>
      <c r="G112" s="290">
        <v>0</v>
      </c>
      <c r="H112" s="277"/>
      <c r="I112" s="317">
        <f t="shared" si="9"/>
        <v>0</v>
      </c>
    </row>
    <row r="113" spans="1:9">
      <c r="A113" s="346">
        <v>18288</v>
      </c>
      <c r="B113" s="333">
        <f>VLOOKUP($A113,'DB Link APP'!$A$2:$T$323,16,FALSE)</f>
        <v>1291158</v>
      </c>
      <c r="C113" s="434"/>
      <c r="D113" s="334">
        <f t="shared" si="8"/>
        <v>1291158</v>
      </c>
      <c r="E113" s="290">
        <v>0</v>
      </c>
      <c r="F113" s="290">
        <v>0</v>
      </c>
      <c r="G113" s="290">
        <v>0</v>
      </c>
      <c r="H113" s="277"/>
      <c r="I113" s="317">
        <f t="shared" si="9"/>
        <v>0</v>
      </c>
    </row>
    <row r="114" spans="1:9">
      <c r="A114" s="346">
        <v>18157</v>
      </c>
      <c r="B114" s="333">
        <f>VLOOKUP($A114,'DB Link APP'!$A$2:$T$323,16,FALSE)</f>
        <v>0</v>
      </c>
      <c r="C114" s="434"/>
      <c r="D114" s="334">
        <f t="shared" si="8"/>
        <v>0</v>
      </c>
      <c r="E114" s="290">
        <v>0</v>
      </c>
      <c r="F114" s="290">
        <v>0</v>
      </c>
      <c r="G114" s="290">
        <v>0</v>
      </c>
      <c r="H114" s="277"/>
      <c r="I114" s="317">
        <f t="shared" si="9"/>
        <v>0</v>
      </c>
    </row>
    <row r="115" spans="1:9">
      <c r="A115" s="346">
        <v>18230</v>
      </c>
      <c r="B115" s="333">
        <f>VLOOKUP($A115,'DB Link APP'!$A$2:$T$323,16,FALSE)</f>
        <v>770000</v>
      </c>
      <c r="C115" s="434">
        <v>770000</v>
      </c>
      <c r="D115" s="334">
        <f t="shared" si="8"/>
        <v>770000</v>
      </c>
      <c r="E115" s="290">
        <v>0</v>
      </c>
      <c r="F115" s="290">
        <v>0</v>
      </c>
      <c r="G115" s="290">
        <v>0</v>
      </c>
      <c r="H115" s="277"/>
      <c r="I115" s="317">
        <f t="shared" si="9"/>
        <v>0</v>
      </c>
    </row>
    <row r="116" spans="1:9">
      <c r="A116" s="346">
        <v>18322</v>
      </c>
      <c r="B116" s="333">
        <f>VLOOKUP($A116,'DB Link APP'!$A$2:$T$323,16,FALSE)</f>
        <v>679000</v>
      </c>
      <c r="C116" s="434">
        <v>679000</v>
      </c>
      <c r="D116" s="334">
        <f t="shared" si="8"/>
        <v>679000</v>
      </c>
      <c r="E116" s="290">
        <v>0</v>
      </c>
      <c r="F116" s="290">
        <v>0</v>
      </c>
      <c r="G116" s="290">
        <v>0</v>
      </c>
      <c r="H116" s="277"/>
      <c r="I116" s="317">
        <f t="shared" si="9"/>
        <v>0</v>
      </c>
    </row>
    <row r="117" spans="1:9">
      <c r="A117" s="346">
        <v>18103</v>
      </c>
      <c r="B117" s="333">
        <f>VLOOKUP($A117,'DB Link APP'!$A$2:$T$323,16,FALSE)</f>
        <v>0</v>
      </c>
      <c r="C117" s="434"/>
      <c r="D117" s="334">
        <f t="shared" si="8"/>
        <v>0</v>
      </c>
      <c r="E117" s="290">
        <v>0</v>
      </c>
      <c r="F117" s="290">
        <v>0</v>
      </c>
      <c r="G117" s="290">
        <v>0</v>
      </c>
      <c r="H117" s="277"/>
      <c r="I117" s="317">
        <f t="shared" si="9"/>
        <v>0</v>
      </c>
    </row>
    <row r="118" spans="1:9">
      <c r="A118" s="346">
        <v>18148</v>
      </c>
      <c r="B118" s="333">
        <f>VLOOKUP($A118,'DB Link APP'!$A$2:$T$323,16,FALSE)</f>
        <v>1030000</v>
      </c>
      <c r="C118" s="434"/>
      <c r="D118" s="334">
        <f t="shared" si="8"/>
        <v>1030000</v>
      </c>
      <c r="E118" s="290">
        <v>0</v>
      </c>
      <c r="F118" s="290">
        <v>0</v>
      </c>
      <c r="G118" s="290">
        <v>0</v>
      </c>
      <c r="H118" s="277"/>
      <c r="I118" s="317">
        <f t="shared" si="9"/>
        <v>0</v>
      </c>
    </row>
    <row r="119" spans="1:9">
      <c r="A119" s="346">
        <v>18188</v>
      </c>
      <c r="B119" s="333">
        <f>VLOOKUP($A119,'DB Link APP'!$A$2:$T$323,16,FALSE)</f>
        <v>1500000</v>
      </c>
      <c r="C119" s="434">
        <v>1500000</v>
      </c>
      <c r="D119" s="334">
        <f t="shared" si="8"/>
        <v>1500000</v>
      </c>
      <c r="E119" s="290">
        <v>0</v>
      </c>
      <c r="F119" s="290">
        <v>0</v>
      </c>
      <c r="G119" s="290">
        <v>0</v>
      </c>
      <c r="H119" s="277"/>
      <c r="I119" s="317">
        <f t="shared" si="9"/>
        <v>0</v>
      </c>
    </row>
    <row r="120" spans="1:9">
      <c r="A120" s="346">
        <v>18196</v>
      </c>
      <c r="B120" s="333">
        <f>VLOOKUP($A120,'DB Link APP'!$A$2:$T$323,16,FALSE)</f>
        <v>1500000</v>
      </c>
      <c r="C120" s="434"/>
      <c r="D120" s="334">
        <f t="shared" si="8"/>
        <v>1500000</v>
      </c>
      <c r="E120" s="290">
        <v>0</v>
      </c>
      <c r="F120" s="290">
        <v>0</v>
      </c>
      <c r="G120" s="290">
        <v>0</v>
      </c>
      <c r="H120" s="277"/>
      <c r="I120" s="317">
        <f t="shared" si="9"/>
        <v>0</v>
      </c>
    </row>
    <row r="121" spans="1:9">
      <c r="A121" s="346">
        <v>18206</v>
      </c>
      <c r="B121" s="333">
        <f>VLOOKUP($A121,'DB Link APP'!$A$2:$T$323,16,FALSE)</f>
        <v>1500000</v>
      </c>
      <c r="C121" s="434"/>
      <c r="D121" s="334">
        <f t="shared" si="8"/>
        <v>1500000</v>
      </c>
      <c r="E121" s="290">
        <v>0</v>
      </c>
      <c r="F121" s="290">
        <v>0</v>
      </c>
      <c r="G121" s="290">
        <v>0</v>
      </c>
      <c r="H121" s="277"/>
      <c r="I121" s="317">
        <f t="shared" si="9"/>
        <v>0</v>
      </c>
    </row>
    <row r="122" spans="1:9">
      <c r="A122" s="346">
        <v>18208</v>
      </c>
      <c r="B122" s="333">
        <f>VLOOKUP($A122,'DB Link APP'!$A$2:$T$323,16,FALSE)</f>
        <v>1315170</v>
      </c>
      <c r="C122" s="434">
        <v>1315170</v>
      </c>
      <c r="D122" s="334">
        <f t="shared" si="8"/>
        <v>1315170</v>
      </c>
      <c r="E122" s="290">
        <v>0</v>
      </c>
      <c r="F122" s="290">
        <v>0</v>
      </c>
      <c r="G122" s="290">
        <v>0</v>
      </c>
      <c r="H122" s="277"/>
      <c r="I122" s="317">
        <f t="shared" si="9"/>
        <v>0</v>
      </c>
    </row>
    <row r="123" spans="1:9">
      <c r="A123" s="346">
        <v>18255</v>
      </c>
      <c r="B123" s="333">
        <f>VLOOKUP($A123,'DB Link APP'!$A$2:$T$323,16,FALSE)</f>
        <v>803000</v>
      </c>
      <c r="C123" s="434"/>
      <c r="D123" s="334">
        <f t="shared" si="8"/>
        <v>803000</v>
      </c>
      <c r="E123" s="290">
        <v>0</v>
      </c>
      <c r="F123" s="290">
        <v>0</v>
      </c>
      <c r="G123" s="290">
        <v>0</v>
      </c>
      <c r="H123" s="277"/>
      <c r="I123" s="317">
        <f t="shared" si="9"/>
        <v>0</v>
      </c>
    </row>
    <row r="124" spans="1:9">
      <c r="A124" s="346">
        <v>18293</v>
      </c>
      <c r="B124" s="333">
        <f>VLOOKUP($A124,'DB Link APP'!$A$2:$T$323,16,FALSE)</f>
        <v>1500000</v>
      </c>
      <c r="C124" s="434"/>
      <c r="D124" s="334">
        <f t="shared" si="8"/>
        <v>1500000</v>
      </c>
      <c r="E124" s="290">
        <v>0</v>
      </c>
      <c r="F124" s="290">
        <v>0</v>
      </c>
      <c r="G124" s="290">
        <v>0</v>
      </c>
      <c r="H124" s="277"/>
      <c r="I124" s="317">
        <f t="shared" si="9"/>
        <v>0</v>
      </c>
    </row>
    <row r="125" spans="1:9">
      <c r="A125" s="346">
        <v>18294</v>
      </c>
      <c r="B125" s="333">
        <f>VLOOKUP($A125,'DB Link APP'!$A$2:$T$323,16,FALSE)</f>
        <v>0</v>
      </c>
      <c r="C125" s="434"/>
      <c r="D125" s="334">
        <f t="shared" si="8"/>
        <v>0</v>
      </c>
      <c r="E125" s="290">
        <v>0</v>
      </c>
      <c r="F125" s="290">
        <v>0</v>
      </c>
      <c r="G125" s="290">
        <v>0</v>
      </c>
      <c r="H125" s="277"/>
      <c r="I125" s="317">
        <f t="shared" si="9"/>
        <v>0</v>
      </c>
    </row>
    <row r="126" spans="1:9">
      <c r="A126" s="346">
        <v>18357</v>
      </c>
      <c r="B126" s="333">
        <f>VLOOKUP($A126,'DB Link APP'!$A$2:$T$323,16,FALSE)</f>
        <v>1500000</v>
      </c>
      <c r="C126" s="434">
        <v>1500000</v>
      </c>
      <c r="D126" s="334">
        <f t="shared" si="8"/>
        <v>1500000</v>
      </c>
      <c r="E126" s="290">
        <v>0</v>
      </c>
      <c r="F126" s="290">
        <v>0</v>
      </c>
      <c r="G126" s="290">
        <v>0</v>
      </c>
      <c r="H126" s="277"/>
      <c r="I126" s="317">
        <f t="shared" si="9"/>
        <v>0</v>
      </c>
    </row>
    <row r="127" spans="1:9">
      <c r="A127" s="342">
        <v>18358</v>
      </c>
      <c r="B127" s="333">
        <f>VLOOKUP($A127,'DB Link APP'!$A$2:$T$323,16,FALSE)</f>
        <v>1500000</v>
      </c>
      <c r="C127" s="434">
        <v>1500000</v>
      </c>
      <c r="D127" s="334">
        <f t="shared" si="8"/>
        <v>1500000</v>
      </c>
      <c r="E127" s="290">
        <v>0</v>
      </c>
      <c r="F127" s="290">
        <v>0</v>
      </c>
      <c r="G127" s="290">
        <v>0</v>
      </c>
      <c r="H127" s="277"/>
      <c r="I127" s="317">
        <f t="shared" si="9"/>
        <v>0</v>
      </c>
    </row>
    <row r="128" spans="1:9">
      <c r="A128" s="346">
        <v>18239</v>
      </c>
      <c r="B128" s="333">
        <f>VLOOKUP($A128,'DB Link APP'!$A$2:$T$323,16,FALSE)</f>
        <v>1118000</v>
      </c>
      <c r="C128" s="434"/>
      <c r="D128" s="334">
        <f t="shared" si="8"/>
        <v>1118000</v>
      </c>
      <c r="E128" s="290">
        <v>0</v>
      </c>
      <c r="F128" s="290">
        <v>0</v>
      </c>
      <c r="G128" s="290">
        <v>0</v>
      </c>
      <c r="H128" s="277"/>
      <c r="I128" s="317">
        <f t="shared" si="9"/>
        <v>0</v>
      </c>
    </row>
    <row r="129" spans="1:9">
      <c r="A129" s="346">
        <v>18345</v>
      </c>
      <c r="B129" s="333">
        <f>VLOOKUP($A129,'DB Link APP'!$A$2:$T$323,16,FALSE)</f>
        <v>500000</v>
      </c>
      <c r="C129" s="434"/>
      <c r="D129" s="334">
        <f t="shared" si="8"/>
        <v>500000</v>
      </c>
      <c r="E129" s="290">
        <v>0</v>
      </c>
      <c r="F129" s="290">
        <v>0</v>
      </c>
      <c r="G129" s="290">
        <v>0</v>
      </c>
      <c r="H129" s="277"/>
      <c r="I129" s="317">
        <f t="shared" si="9"/>
        <v>0</v>
      </c>
    </row>
    <row r="130" spans="1:9">
      <c r="A130" s="346">
        <v>18347</v>
      </c>
      <c r="B130" s="333">
        <f>VLOOKUP($A130,'DB Link APP'!$A$2:$T$323,16,FALSE)</f>
        <v>750000</v>
      </c>
      <c r="C130" s="434">
        <v>750000</v>
      </c>
      <c r="D130" s="334">
        <f t="shared" si="8"/>
        <v>750000</v>
      </c>
      <c r="E130" s="290">
        <v>0</v>
      </c>
      <c r="F130" s="290">
        <v>0</v>
      </c>
      <c r="G130" s="290">
        <v>0</v>
      </c>
      <c r="H130" s="277"/>
      <c r="I130" s="317">
        <f t="shared" si="9"/>
        <v>0</v>
      </c>
    </row>
    <row r="131" spans="1:9">
      <c r="A131" s="359">
        <v>18224</v>
      </c>
      <c r="B131" s="333">
        <f>VLOOKUP($A131,'DB Link APP'!$A$2:$T$323,16,FALSE)</f>
        <v>0</v>
      </c>
      <c r="C131" s="434"/>
      <c r="D131" s="334">
        <f t="shared" si="8"/>
        <v>0</v>
      </c>
      <c r="E131" s="290">
        <v>0</v>
      </c>
      <c r="F131" s="290">
        <v>0</v>
      </c>
      <c r="G131" s="290">
        <v>0</v>
      </c>
      <c r="H131" s="277"/>
      <c r="I131" s="317">
        <f t="shared" si="9"/>
        <v>0</v>
      </c>
    </row>
    <row r="132" spans="1:9">
      <c r="A132" s="346">
        <v>18222</v>
      </c>
      <c r="B132" s="333">
        <f>VLOOKUP($A132,'DB Link APP'!$A$2:$T$323,16,FALSE)</f>
        <v>778700</v>
      </c>
      <c r="C132" s="434">
        <v>778700</v>
      </c>
      <c r="D132" s="334">
        <f t="shared" si="8"/>
        <v>778700</v>
      </c>
      <c r="E132" s="290">
        <v>0</v>
      </c>
      <c r="F132" s="290">
        <v>0</v>
      </c>
      <c r="G132" s="290">
        <v>0</v>
      </c>
      <c r="H132" s="277"/>
      <c r="I132" s="317">
        <f t="shared" si="9"/>
        <v>0</v>
      </c>
    </row>
    <row r="133" spans="1:9">
      <c r="A133" s="358">
        <v>18109</v>
      </c>
      <c r="B133" s="333">
        <f>VLOOKUP($A133,'DB Link APP'!$A$2:$T$323,16,FALSE)</f>
        <v>0</v>
      </c>
      <c r="C133" s="434"/>
      <c r="D133" s="334">
        <f t="shared" si="8"/>
        <v>0</v>
      </c>
      <c r="E133" s="290">
        <v>0</v>
      </c>
      <c r="F133" s="290">
        <v>0</v>
      </c>
      <c r="G133" s="290">
        <v>0</v>
      </c>
      <c r="H133" s="277"/>
      <c r="I133" s="317">
        <f t="shared" si="9"/>
        <v>0</v>
      </c>
    </row>
    <row r="134" spans="1:9">
      <c r="A134" s="346">
        <v>18130</v>
      </c>
      <c r="B134" s="333">
        <f>VLOOKUP($A134,'DB Link APP'!$A$2:$T$323,16,FALSE)</f>
        <v>701300</v>
      </c>
      <c r="C134" s="434">
        <v>701300</v>
      </c>
      <c r="D134" s="334">
        <f t="shared" si="8"/>
        <v>701300</v>
      </c>
      <c r="E134" s="290">
        <v>0</v>
      </c>
      <c r="F134" s="290">
        <v>0</v>
      </c>
      <c r="G134" s="290">
        <v>0</v>
      </c>
      <c r="H134" s="277"/>
      <c r="I134" s="317">
        <f t="shared" si="9"/>
        <v>0</v>
      </c>
    </row>
    <row r="135" spans="1:9">
      <c r="A135" s="346">
        <v>18127</v>
      </c>
      <c r="B135" s="333">
        <f>VLOOKUP($A135,'DB Link APP'!$A$2:$T$323,16,FALSE)</f>
        <v>1149600</v>
      </c>
      <c r="C135" s="434">
        <v>1149600</v>
      </c>
      <c r="D135" s="334">
        <f t="shared" si="8"/>
        <v>1149600</v>
      </c>
      <c r="E135" s="290">
        <v>0</v>
      </c>
      <c r="F135" s="290">
        <v>0</v>
      </c>
      <c r="G135" s="290">
        <v>0</v>
      </c>
      <c r="H135" s="277"/>
      <c r="I135" s="317">
        <f t="shared" si="9"/>
        <v>0</v>
      </c>
    </row>
    <row r="136" spans="1:9">
      <c r="A136" s="346">
        <v>18129</v>
      </c>
      <c r="B136" s="333">
        <f>VLOOKUP($A136,'DB Link APP'!$A$2:$T$323,16,FALSE)</f>
        <v>1258450</v>
      </c>
      <c r="C136" s="434"/>
      <c r="D136" s="334">
        <f t="shared" si="8"/>
        <v>1258450</v>
      </c>
      <c r="E136" s="290">
        <v>0</v>
      </c>
      <c r="F136" s="290">
        <v>0</v>
      </c>
      <c r="G136" s="290">
        <v>0</v>
      </c>
      <c r="H136" s="277"/>
      <c r="I136" s="317">
        <f t="shared" si="9"/>
        <v>0</v>
      </c>
    </row>
    <row r="137" spans="1:9">
      <c r="A137" s="346">
        <v>18707</v>
      </c>
      <c r="B137" s="333">
        <f>VLOOKUP($A137,'DB Link APP'!$A$2:$T$323,16,FALSE)</f>
        <v>1163300</v>
      </c>
      <c r="C137" s="434">
        <v>1163300</v>
      </c>
      <c r="D137" s="334">
        <f t="shared" si="8"/>
        <v>1163300</v>
      </c>
      <c r="E137" s="290">
        <v>0</v>
      </c>
      <c r="F137" s="290">
        <v>0</v>
      </c>
      <c r="G137" s="290">
        <v>0</v>
      </c>
      <c r="H137" s="277"/>
      <c r="I137" s="317">
        <f t="shared" si="9"/>
        <v>0</v>
      </c>
    </row>
    <row r="138" spans="1:9">
      <c r="A138" s="346">
        <v>18708</v>
      </c>
      <c r="B138" s="333">
        <v>474312</v>
      </c>
      <c r="C138" s="434">
        <v>474312</v>
      </c>
      <c r="D138" s="334">
        <f t="shared" ref="D138:D140" si="10">+IF(C138&gt;0,C138,B138)</f>
        <v>474312</v>
      </c>
      <c r="E138" s="290">
        <v>0</v>
      </c>
      <c r="F138" s="290">
        <v>0</v>
      </c>
      <c r="G138" s="290">
        <v>0</v>
      </c>
      <c r="H138" s="277"/>
      <c r="I138" s="317">
        <f t="shared" ref="I138:I140" si="11">IF(C138&gt;0,B138-C138,0)</f>
        <v>0</v>
      </c>
    </row>
    <row r="139" spans="1:9">
      <c r="A139" s="346">
        <v>18709</v>
      </c>
      <c r="B139" s="539">
        <v>1194724</v>
      </c>
      <c r="C139" s="539">
        <v>1194724</v>
      </c>
      <c r="D139" s="334">
        <f t="shared" si="10"/>
        <v>1194724</v>
      </c>
      <c r="E139" s="290"/>
      <c r="F139" s="290"/>
      <c r="G139" s="290"/>
      <c r="H139" s="277"/>
      <c r="I139" s="317">
        <f t="shared" si="11"/>
        <v>0</v>
      </c>
    </row>
    <row r="140" spans="1:9">
      <c r="A140" s="346">
        <v>18710</v>
      </c>
      <c r="B140" s="539">
        <v>853071</v>
      </c>
      <c r="C140" s="539">
        <v>853071</v>
      </c>
      <c r="D140" s="334">
        <f t="shared" si="10"/>
        <v>853071</v>
      </c>
      <c r="E140" s="290"/>
      <c r="F140" s="290"/>
      <c r="G140" s="290"/>
      <c r="H140" s="277"/>
      <c r="I140" s="317">
        <f t="shared" si="11"/>
        <v>0</v>
      </c>
    </row>
    <row r="141" spans="1:9">
      <c r="A141" s="346">
        <v>18012</v>
      </c>
      <c r="B141" s="333">
        <f>VLOOKUP($A141,'DB Link APP'!$A$2:$T$323,16,FALSE)</f>
        <v>1163300</v>
      </c>
      <c r="C141" s="434">
        <v>1163300</v>
      </c>
      <c r="D141" s="334">
        <f t="shared" si="8"/>
        <v>1163300</v>
      </c>
      <c r="E141" s="290">
        <v>0</v>
      </c>
      <c r="F141" s="290">
        <v>0</v>
      </c>
      <c r="G141" s="290">
        <v>0</v>
      </c>
      <c r="H141" s="277"/>
      <c r="I141" s="317">
        <f t="shared" si="9"/>
        <v>0</v>
      </c>
    </row>
    <row r="142" spans="1:9">
      <c r="A142" s="346">
        <v>18010</v>
      </c>
      <c r="B142" s="333">
        <f>VLOOKUP($A142,'DB Link APP'!$A$2:$T$323,16,FALSE)</f>
        <v>1163300</v>
      </c>
      <c r="C142" s="434"/>
      <c r="D142" s="334">
        <f t="shared" si="8"/>
        <v>1163300</v>
      </c>
      <c r="E142" s="290">
        <v>0</v>
      </c>
      <c r="F142" s="290">
        <v>0</v>
      </c>
      <c r="G142" s="290">
        <v>0</v>
      </c>
      <c r="H142" s="277"/>
      <c r="I142" s="317">
        <f t="shared" si="9"/>
        <v>0</v>
      </c>
    </row>
    <row r="143" spans="1:9">
      <c r="C143" s="436">
        <f>SUM(C2:C142)</f>
        <v>78736874</v>
      </c>
      <c r="I143" s="316">
        <f>SUM(I2:I142)</f>
        <v>215678.71396428702</v>
      </c>
    </row>
  </sheetData>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CEILING</vt:lpstr>
      <vt:lpstr>App Log</vt:lpstr>
      <vt:lpstr>DB Link APP</vt:lpstr>
      <vt:lpstr>REA-PPR</vt:lpstr>
      <vt:lpstr>UW Rec Amts</vt:lpstr>
      <vt:lpstr>'App Log'!Print_Area</vt:lpstr>
      <vt:lpstr>CEILING!Print_Area</vt:lpstr>
      <vt:lpstr>'App Log'!Print_Titles</vt:lpstr>
      <vt:lpstr>'UW Rec Amts'!Print_Titles</vt:lpstr>
    </vt:vector>
  </TitlesOfParts>
  <Company>TDHCA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Competitive Housing Tax Credit Accounting Summary (XLSX) (January 29)</dc:title>
  <dc:subject>2018 9HTC</dc:subject>
  <dc:creator>TDHCA</dc:creator>
  <cp:keywords>2018 Competitive Housing Tax Credit Accounting Summary (XLSX) (January 29)</cp:keywords>
  <dc:description>updated January 29, 2019</dc:description>
  <cp:lastModifiedBy>Jason Burr</cp:lastModifiedBy>
  <cp:lastPrinted>2018-11-26T17:59:34Z</cp:lastPrinted>
  <dcterms:created xsi:type="dcterms:W3CDTF">2012-01-02T14:35:22Z</dcterms:created>
  <dcterms:modified xsi:type="dcterms:W3CDTF">2019-01-30T15:22:36Z</dcterms:modified>
</cp:coreProperties>
</file>