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Q:\webmaster_projects\mf_temp_docs\2020\"/>
    </mc:Choice>
  </mc:AlternateContent>
  <bookViews>
    <workbookView xWindow="0" yWindow="0" windowWidth="23040" windowHeight="8808" activeTab="1"/>
  </bookViews>
  <sheets>
    <sheet name="HTC" sheetId="4" r:id="rId1"/>
    <sheet name="Ceiling and Request Limits" sheetId="7" r:id="rId2"/>
  </sheets>
  <definedNames>
    <definedName name="_xlnm.Print_Area" localSheetId="1">'Ceiling and Request Limits'!$A$2:$O$54</definedName>
  </definedNames>
  <calcPr calcId="162913" concurrentCalc="0"/>
</workbook>
</file>

<file path=xl/calcChain.xml><?xml version="1.0" encoding="utf-8"?>
<calcChain xmlns="http://schemas.openxmlformats.org/spreadsheetml/2006/main">
  <c r="G8" i="7" l="1"/>
  <c r="G9" i="7"/>
  <c r="G10" i="7"/>
  <c r="G11" i="7"/>
  <c r="G12" i="7"/>
  <c r="G13" i="7"/>
  <c r="G14" i="7"/>
  <c r="G15" i="7"/>
  <c r="G16" i="7"/>
  <c r="G17" i="7"/>
  <c r="G18" i="7"/>
  <c r="G19" i="7"/>
  <c r="G20" i="7"/>
  <c r="G36" i="7"/>
  <c r="G22" i="7"/>
  <c r="G23" i="7"/>
  <c r="G24" i="7"/>
  <c r="G25" i="7"/>
  <c r="G26" i="7"/>
  <c r="G27" i="7"/>
  <c r="G28" i="7"/>
  <c r="G29" i="7"/>
  <c r="G30" i="7"/>
  <c r="G31" i="7"/>
  <c r="G32" i="7"/>
  <c r="G33" i="7"/>
  <c r="G34" i="7"/>
  <c r="G37" i="7"/>
  <c r="G39" i="7"/>
  <c r="H16" i="7"/>
  <c r="F8" i="7"/>
  <c r="F9" i="7"/>
  <c r="F10" i="7"/>
  <c r="F11" i="7"/>
  <c r="F12" i="7"/>
  <c r="F13" i="7"/>
  <c r="F14" i="7"/>
  <c r="F15" i="7"/>
  <c r="F16" i="7"/>
  <c r="F17" i="7"/>
  <c r="F18" i="7"/>
  <c r="F19" i="7"/>
  <c r="F20" i="7"/>
  <c r="F36" i="7"/>
  <c r="F22" i="7"/>
  <c r="F23" i="7"/>
  <c r="F24" i="7"/>
  <c r="F25" i="7"/>
  <c r="F26" i="7"/>
  <c r="F27" i="7"/>
  <c r="F28" i="7"/>
  <c r="F29" i="7"/>
  <c r="F30" i="7"/>
  <c r="F31" i="7"/>
  <c r="F32" i="7"/>
  <c r="F33" i="7"/>
  <c r="F34" i="7"/>
  <c r="F37" i="7"/>
  <c r="F39" i="7"/>
  <c r="I16" i="7"/>
  <c r="J16" i="7"/>
  <c r="O16" i="7"/>
  <c r="H14" i="7"/>
  <c r="I14" i="7"/>
  <c r="J14" i="7"/>
  <c r="O14" i="7"/>
  <c r="H13" i="7"/>
  <c r="I13" i="7"/>
  <c r="J13" i="7"/>
  <c r="O13" i="7"/>
  <c r="H10" i="7"/>
  <c r="I10" i="7"/>
  <c r="J10" i="7"/>
  <c r="O10" i="7"/>
  <c r="I9" i="7"/>
  <c r="J9" i="7"/>
  <c r="P9" i="7"/>
  <c r="P10" i="7"/>
  <c r="H11" i="7"/>
  <c r="I11" i="7"/>
  <c r="J11" i="7"/>
  <c r="P11" i="7"/>
  <c r="H12" i="7"/>
  <c r="I12" i="7"/>
  <c r="J12" i="7"/>
  <c r="P12" i="7"/>
  <c r="P13" i="7"/>
  <c r="P14" i="7"/>
  <c r="H15" i="7"/>
  <c r="I15" i="7"/>
  <c r="J15" i="7"/>
  <c r="P15" i="7"/>
  <c r="P16" i="7"/>
  <c r="H17" i="7"/>
  <c r="I17" i="7"/>
  <c r="J17" i="7"/>
  <c r="P17" i="7"/>
  <c r="H18" i="7"/>
  <c r="I18" i="7"/>
  <c r="J18" i="7"/>
  <c r="P18" i="7"/>
  <c r="H19" i="7"/>
  <c r="I19" i="7"/>
  <c r="J19" i="7"/>
  <c r="P19" i="7"/>
  <c r="H20" i="7"/>
  <c r="I20" i="7"/>
  <c r="J20" i="7"/>
  <c r="P20" i="7"/>
  <c r="P21" i="7"/>
  <c r="H22" i="7"/>
  <c r="I22" i="7"/>
  <c r="J22" i="7"/>
  <c r="P22" i="7"/>
  <c r="I23" i="7"/>
  <c r="J23" i="7"/>
  <c r="P23" i="7"/>
  <c r="H24" i="7"/>
  <c r="I24" i="7"/>
  <c r="J24" i="7"/>
  <c r="P24" i="7"/>
  <c r="H25" i="7"/>
  <c r="I25" i="7"/>
  <c r="J25" i="7"/>
  <c r="P25" i="7"/>
  <c r="H26" i="7"/>
  <c r="I26" i="7"/>
  <c r="J26" i="7"/>
  <c r="P26" i="7"/>
  <c r="I27" i="7"/>
  <c r="J27" i="7"/>
  <c r="P27" i="7"/>
  <c r="I28" i="7"/>
  <c r="J28" i="7"/>
  <c r="P28" i="7"/>
  <c r="H29" i="7"/>
  <c r="I29" i="7"/>
  <c r="J29" i="7"/>
  <c r="P29" i="7"/>
  <c r="I30" i="7"/>
  <c r="J30" i="7"/>
  <c r="P30" i="7"/>
  <c r="H31" i="7"/>
  <c r="I31" i="7"/>
  <c r="J31" i="7"/>
  <c r="P31" i="7"/>
  <c r="H32" i="7"/>
  <c r="I32" i="7"/>
  <c r="J32" i="7"/>
  <c r="P32" i="7"/>
  <c r="I33" i="7"/>
  <c r="J33" i="7"/>
  <c r="P33" i="7"/>
  <c r="I34" i="7"/>
  <c r="J34" i="7"/>
  <c r="P34" i="7"/>
  <c r="H8" i="7"/>
  <c r="I8" i="7"/>
  <c r="J8" i="7"/>
  <c r="P8" i="7"/>
  <c r="D16" i="4"/>
  <c r="J17" i="4"/>
  <c r="J3" i="4"/>
  <c r="J4" i="4"/>
  <c r="J5" i="4"/>
  <c r="J6" i="4"/>
  <c r="J7" i="4"/>
  <c r="J8" i="4"/>
  <c r="J9" i="4"/>
  <c r="J10" i="4"/>
  <c r="J11" i="4"/>
  <c r="J12" i="4"/>
  <c r="J13" i="4"/>
  <c r="J14" i="4"/>
  <c r="J15" i="4"/>
  <c r="J18" i="4"/>
  <c r="J19" i="4"/>
  <c r="J20" i="4"/>
  <c r="J21" i="4"/>
  <c r="J22" i="4"/>
  <c r="J23" i="4"/>
  <c r="J24" i="4"/>
  <c r="J25" i="4"/>
  <c r="J26" i="4"/>
  <c r="J27" i="4"/>
  <c r="J28" i="4"/>
  <c r="J29" i="4"/>
  <c r="J31" i="4"/>
  <c r="K17" i="4"/>
  <c r="L17" i="4"/>
  <c r="M17" i="4"/>
  <c r="M3" i="4"/>
  <c r="M4" i="4"/>
  <c r="M5" i="4"/>
  <c r="M6" i="4"/>
  <c r="M7" i="4"/>
  <c r="M8" i="4"/>
  <c r="M9" i="4"/>
  <c r="M10" i="4"/>
  <c r="M11" i="4"/>
  <c r="M12" i="4"/>
  <c r="M13" i="4"/>
  <c r="M14" i="4"/>
  <c r="M15" i="4"/>
  <c r="M18" i="4"/>
  <c r="M19" i="4"/>
  <c r="M20" i="4"/>
  <c r="M21" i="4"/>
  <c r="M22" i="4"/>
  <c r="M23" i="4"/>
  <c r="M24" i="4"/>
  <c r="M25" i="4"/>
  <c r="M26" i="4"/>
  <c r="M27" i="4"/>
  <c r="M28" i="4"/>
  <c r="M29" i="4"/>
  <c r="M31" i="4"/>
  <c r="N17" i="4"/>
  <c r="O17" i="4"/>
  <c r="O30" i="4"/>
  <c r="K18" i="4"/>
  <c r="L18" i="4"/>
  <c r="P18" i="4"/>
  <c r="T18" i="4"/>
  <c r="U18" i="4"/>
  <c r="N18" i="4"/>
  <c r="O18" i="4"/>
  <c r="K19" i="4"/>
  <c r="L19" i="4"/>
  <c r="P19" i="4"/>
  <c r="N19" i="4"/>
  <c r="O19" i="4"/>
  <c r="K20" i="4"/>
  <c r="L20" i="4"/>
  <c r="P20" i="4"/>
  <c r="T20" i="4"/>
  <c r="N20" i="4"/>
  <c r="O20" i="4"/>
  <c r="K21" i="4"/>
  <c r="L21" i="4"/>
  <c r="P21" i="4"/>
  <c r="N21" i="4"/>
  <c r="O21" i="4"/>
  <c r="K22" i="4"/>
  <c r="L22" i="4"/>
  <c r="P22" i="4"/>
  <c r="T22" i="4"/>
  <c r="N22" i="4"/>
  <c r="O22" i="4"/>
  <c r="K23" i="4"/>
  <c r="L23" i="4"/>
  <c r="N23" i="4"/>
  <c r="O23" i="4"/>
  <c r="K24" i="4"/>
  <c r="L24" i="4"/>
  <c r="N24" i="4"/>
  <c r="O24" i="4"/>
  <c r="P24" i="4"/>
  <c r="T24" i="4"/>
  <c r="K25" i="4"/>
  <c r="L25" i="4"/>
  <c r="N25" i="4"/>
  <c r="O25" i="4"/>
  <c r="K26" i="4"/>
  <c r="L26" i="4"/>
  <c r="P26" i="4"/>
  <c r="T26" i="4"/>
  <c r="N26" i="4"/>
  <c r="O26" i="4"/>
  <c r="K27" i="4"/>
  <c r="L27" i="4"/>
  <c r="P27" i="4"/>
  <c r="N27" i="4"/>
  <c r="O27" i="4"/>
  <c r="K28" i="4"/>
  <c r="L28" i="4"/>
  <c r="P28" i="4"/>
  <c r="T28" i="4"/>
  <c r="N28" i="4"/>
  <c r="O28" i="4"/>
  <c r="K29" i="4"/>
  <c r="L29" i="4"/>
  <c r="P29" i="4"/>
  <c r="N29" i="4"/>
  <c r="O29" i="4"/>
  <c r="K3" i="4"/>
  <c r="L3" i="4"/>
  <c r="P3" i="4"/>
  <c r="N3" i="4"/>
  <c r="O3" i="4"/>
  <c r="O31" i="4"/>
  <c r="K4" i="4"/>
  <c r="L4" i="4"/>
  <c r="N4" i="4"/>
  <c r="O4" i="4"/>
  <c r="K5" i="4"/>
  <c r="L5" i="4"/>
  <c r="N5" i="4"/>
  <c r="O5" i="4"/>
  <c r="P5" i="4"/>
  <c r="T5" i="4"/>
  <c r="K6" i="4"/>
  <c r="L6" i="4"/>
  <c r="N6" i="4"/>
  <c r="O6" i="4"/>
  <c r="K7" i="4"/>
  <c r="L7" i="4"/>
  <c r="P7" i="4"/>
  <c r="N7" i="4"/>
  <c r="O7" i="4"/>
  <c r="K8" i="4"/>
  <c r="L8" i="4"/>
  <c r="P8" i="4"/>
  <c r="N8" i="4"/>
  <c r="O8" i="4"/>
  <c r="K9" i="4"/>
  <c r="L9" i="4"/>
  <c r="P9" i="4"/>
  <c r="N9" i="4"/>
  <c r="O9" i="4"/>
  <c r="K10" i="4"/>
  <c r="L10" i="4"/>
  <c r="P10" i="4"/>
  <c r="N10" i="4"/>
  <c r="O10" i="4"/>
  <c r="K11" i="4"/>
  <c r="L11" i="4"/>
  <c r="P11" i="4"/>
  <c r="N11" i="4"/>
  <c r="O11" i="4"/>
  <c r="K12" i="4"/>
  <c r="L12" i="4"/>
  <c r="N12" i="4"/>
  <c r="O12" i="4"/>
  <c r="K13" i="4"/>
  <c r="L13" i="4"/>
  <c r="N13" i="4"/>
  <c r="O13" i="4"/>
  <c r="P13" i="4"/>
  <c r="K14" i="4"/>
  <c r="L14" i="4"/>
  <c r="N14" i="4"/>
  <c r="O14" i="4"/>
  <c r="K15" i="4"/>
  <c r="L15" i="4"/>
  <c r="P15" i="4"/>
  <c r="N15" i="4"/>
  <c r="O15" i="4"/>
  <c r="N31" i="4"/>
  <c r="K31" i="4"/>
  <c r="G16" i="4"/>
  <c r="G30" i="4"/>
  <c r="G31" i="4"/>
  <c r="F16" i="4"/>
  <c r="F30" i="4"/>
  <c r="F31" i="4"/>
  <c r="E16" i="4"/>
  <c r="E30" i="4"/>
  <c r="E31" i="4"/>
  <c r="D30" i="4"/>
  <c r="D31" i="4"/>
  <c r="C16" i="4"/>
  <c r="C30" i="4"/>
  <c r="C31" i="4"/>
  <c r="N30" i="4"/>
  <c r="M30" i="4"/>
  <c r="K30" i="4"/>
  <c r="J30" i="4"/>
  <c r="O16" i="4"/>
  <c r="N16" i="4"/>
  <c r="M16" i="4"/>
  <c r="K16" i="4"/>
  <c r="J16" i="4"/>
  <c r="J36" i="7"/>
  <c r="J37" i="7"/>
  <c r="J39" i="7"/>
  <c r="E40" i="7"/>
  <c r="J40" i="7"/>
  <c r="J42" i="7"/>
  <c r="K42" i="7"/>
  <c r="E41" i="7"/>
  <c r="J41" i="7"/>
  <c r="K41" i="7"/>
  <c r="K40" i="7"/>
  <c r="K39" i="7"/>
  <c r="E36" i="7"/>
  <c r="E37" i="7"/>
  <c r="E39" i="7"/>
  <c r="K37" i="7"/>
  <c r="I37" i="7"/>
  <c r="K36" i="7"/>
  <c r="I36" i="7"/>
  <c r="K34" i="7"/>
  <c r="H34" i="7"/>
  <c r="K33" i="7"/>
  <c r="H33" i="7"/>
  <c r="K32" i="7"/>
  <c r="K31" i="7"/>
  <c r="K30" i="7"/>
  <c r="H30" i="7"/>
  <c r="K29" i="7"/>
  <c r="K28" i="7"/>
  <c r="H28" i="7"/>
  <c r="K27" i="7"/>
  <c r="H27" i="7"/>
  <c r="K26" i="7"/>
  <c r="K25" i="7"/>
  <c r="K24" i="7"/>
  <c r="K23" i="7"/>
  <c r="H23" i="7"/>
  <c r="K22" i="7"/>
  <c r="K20" i="7"/>
  <c r="K19" i="7"/>
  <c r="K18" i="7"/>
  <c r="K17" i="7"/>
  <c r="K16" i="7"/>
  <c r="K15" i="7"/>
  <c r="K14" i="7"/>
  <c r="K13" i="7"/>
  <c r="K12" i="7"/>
  <c r="K11" i="7"/>
  <c r="K10" i="7"/>
  <c r="K9" i="7"/>
  <c r="H9" i="7"/>
  <c r="K8" i="7"/>
  <c r="U22" i="4"/>
  <c r="X22" i="4"/>
  <c r="Y22" i="4"/>
  <c r="W22" i="4"/>
  <c r="L31" i="4"/>
  <c r="P17" i="4"/>
  <c r="T17" i="4"/>
  <c r="P14" i="4"/>
  <c r="T14" i="4"/>
  <c r="P6" i="4"/>
  <c r="T6" i="4"/>
  <c r="P25" i="4"/>
  <c r="P4" i="4"/>
  <c r="P23" i="4"/>
  <c r="T23" i="4"/>
  <c r="T9" i="4"/>
  <c r="V28" i="4"/>
  <c r="U28" i="4"/>
  <c r="X28" i="4"/>
  <c r="Y28" i="4"/>
  <c r="W28" i="4"/>
  <c r="T25" i="4"/>
  <c r="T4" i="4"/>
  <c r="V26" i="4"/>
  <c r="Y18" i="4"/>
  <c r="W18" i="4"/>
  <c r="V18" i="4"/>
  <c r="X18" i="4"/>
  <c r="U26" i="4"/>
  <c r="V5" i="4"/>
  <c r="U5" i="4"/>
  <c r="T29" i="4"/>
  <c r="V24" i="4"/>
  <c r="U24" i="4"/>
  <c r="T21" i="4"/>
  <c r="T13" i="4"/>
  <c r="V20" i="4"/>
  <c r="U20" i="4"/>
  <c r="P30" i="4"/>
  <c r="P12" i="4"/>
  <c r="T10" i="4"/>
  <c r="T8" i="4"/>
  <c r="T27" i="4"/>
  <c r="V22" i="4"/>
  <c r="T19" i="4"/>
  <c r="T15" i="4"/>
  <c r="T11" i="4"/>
  <c r="T7" i="4"/>
  <c r="T3" i="4"/>
  <c r="L16" i="4"/>
  <c r="L30" i="4"/>
  <c r="U11" i="4"/>
  <c r="V11" i="4"/>
  <c r="T12" i="4"/>
  <c r="V21" i="4"/>
  <c r="U21" i="4"/>
  <c r="V6" i="4"/>
  <c r="U6" i="4"/>
  <c r="U15" i="4"/>
  <c r="V15" i="4"/>
  <c r="V14" i="4"/>
  <c r="U14" i="4"/>
  <c r="U23" i="4"/>
  <c r="X23" i="4"/>
  <c r="Y23" i="4"/>
  <c r="W23" i="4"/>
  <c r="V23" i="4"/>
  <c r="P16" i="4"/>
  <c r="V3" i="4"/>
  <c r="U3" i="4"/>
  <c r="U19" i="4"/>
  <c r="V19" i="4"/>
  <c r="U27" i="4"/>
  <c r="V27" i="4"/>
  <c r="U8" i="4"/>
  <c r="V8" i="4"/>
  <c r="V29" i="4"/>
  <c r="U29" i="4"/>
  <c r="X29" i="4"/>
  <c r="Y29" i="4"/>
  <c r="W29" i="4"/>
  <c r="U4" i="4"/>
  <c r="X4" i="4"/>
  <c r="Y4" i="4"/>
  <c r="W4" i="4"/>
  <c r="V4" i="4"/>
  <c r="V25" i="4"/>
  <c r="U25" i="4"/>
  <c r="X25" i="4"/>
  <c r="Y25" i="4"/>
  <c r="W25" i="4"/>
  <c r="V17" i="4"/>
  <c r="U17" i="4"/>
  <c r="T30" i="4"/>
  <c r="P31" i="4"/>
  <c r="V7" i="4"/>
  <c r="U7" i="4"/>
  <c r="V10" i="4"/>
  <c r="U10" i="4"/>
  <c r="V13" i="4"/>
  <c r="U13" i="4"/>
  <c r="V9" i="4"/>
  <c r="U9" i="4"/>
  <c r="Q31" i="4"/>
  <c r="Q25" i="4"/>
  <c r="Q7" i="4"/>
  <c r="Q15" i="4"/>
  <c r="Q29" i="4"/>
  <c r="Q27" i="4"/>
  <c r="Q19" i="4"/>
  <c r="Q18" i="4"/>
  <c r="Q26" i="4"/>
  <c r="Q11" i="4"/>
  <c r="Q9" i="4"/>
  <c r="Q23" i="4"/>
  <c r="Q14" i="4"/>
  <c r="Q13" i="4"/>
  <c r="Q20" i="4"/>
  <c r="Q28" i="4"/>
  <c r="Q6" i="4"/>
  <c r="Q4" i="4"/>
  <c r="Q21" i="4"/>
  <c r="Q8" i="4"/>
  <c r="Q17" i="4"/>
  <c r="Q22" i="4"/>
  <c r="Q5" i="4"/>
  <c r="Q10" i="4"/>
  <c r="Q3" i="4"/>
  <c r="Q24" i="4"/>
  <c r="Q16" i="4"/>
  <c r="U12" i="4"/>
  <c r="U31" i="4"/>
  <c r="V12" i="4"/>
  <c r="Q30" i="4"/>
  <c r="U30" i="4"/>
  <c r="V16" i="4"/>
  <c r="V31" i="4"/>
  <c r="W12" i="4"/>
  <c r="V30" i="4"/>
  <c r="Q12" i="4"/>
  <c r="U16" i="4"/>
  <c r="T16" i="4"/>
  <c r="T31" i="4"/>
  <c r="X12" i="4"/>
  <c r="Y12" i="4"/>
  <c r="W26" i="4"/>
  <c r="X26" i="4"/>
  <c r="Y26" i="4"/>
  <c r="W5" i="4"/>
  <c r="X5" i="4"/>
  <c r="Y5" i="4"/>
  <c r="W24" i="4"/>
  <c r="X24" i="4"/>
  <c r="Y24" i="4"/>
  <c r="W20" i="4"/>
  <c r="X20" i="4"/>
  <c r="Y20" i="4"/>
  <c r="W21" i="4"/>
  <c r="X21" i="4"/>
  <c r="Y21" i="4"/>
  <c r="W19" i="4"/>
  <c r="X19" i="4"/>
  <c r="Y19" i="4"/>
  <c r="W17" i="4"/>
  <c r="W7" i="4"/>
  <c r="X7" i="4"/>
  <c r="Y7" i="4"/>
  <c r="W10" i="4"/>
  <c r="X10" i="4"/>
  <c r="Y10" i="4"/>
  <c r="W13" i="4"/>
  <c r="X13" i="4"/>
  <c r="Y13" i="4"/>
  <c r="W11" i="4"/>
  <c r="X11" i="4"/>
  <c r="Y11" i="4"/>
  <c r="W6" i="4"/>
  <c r="X6" i="4"/>
  <c r="Y6" i="4"/>
  <c r="W27" i="4"/>
  <c r="X27" i="4"/>
  <c r="Y27" i="4"/>
  <c r="W9" i="4"/>
  <c r="X9" i="4"/>
  <c r="Y9" i="4"/>
  <c r="W3" i="4"/>
  <c r="W15" i="4"/>
  <c r="X15" i="4"/>
  <c r="Y15" i="4"/>
  <c r="W14" i="4"/>
  <c r="X14" i="4"/>
  <c r="Y14" i="4"/>
  <c r="W8" i="4"/>
  <c r="X8" i="4"/>
  <c r="Y8" i="4"/>
  <c r="W16" i="4"/>
  <c r="X3" i="4"/>
  <c r="W30" i="4"/>
  <c r="W31" i="4"/>
  <c r="X17" i="4"/>
  <c r="X31" i="4"/>
  <c r="X30" i="4"/>
  <c r="Y17" i="4"/>
  <c r="X16" i="4"/>
  <c r="Y3" i="4"/>
  <c r="Y31" i="4"/>
  <c r="Z17" i="4"/>
  <c r="Y30" i="4"/>
  <c r="Z30" i="4"/>
  <c r="Y16" i="4"/>
  <c r="Z16" i="4"/>
  <c r="Z3" i="4"/>
  <c r="Z31" i="4"/>
  <c r="Z28" i="4"/>
  <c r="Z18" i="4"/>
  <c r="Z22" i="4"/>
  <c r="Z25" i="4"/>
  <c r="Z4" i="4"/>
  <c r="Z29" i="4"/>
  <c r="Z23" i="4"/>
  <c r="Z9" i="4"/>
  <c r="Z14" i="4"/>
  <c r="Z26" i="4"/>
  <c r="Z20" i="4"/>
  <c r="Z8" i="4"/>
  <c r="Z5" i="4"/>
  <c r="Z7" i="4"/>
  <c r="Z13" i="4"/>
  <c r="Z27" i="4"/>
  <c r="Z15" i="4"/>
  <c r="Z12" i="4"/>
  <c r="Z11" i="4"/>
  <c r="Z24" i="4"/>
  <c r="Z19" i="4"/>
  <c r="Z10" i="4"/>
  <c r="Z6" i="4"/>
  <c r="Z21" i="4"/>
</calcChain>
</file>

<file path=xl/sharedStrings.xml><?xml version="1.0" encoding="utf-8"?>
<sst xmlns="http://schemas.openxmlformats.org/spreadsheetml/2006/main" count="117" uniqueCount="70">
  <si>
    <t>Total</t>
  </si>
  <si>
    <t>Region</t>
  </si>
  <si>
    <t>Subtotal</t>
  </si>
  <si>
    <t>MSA Counties with Urban Places</t>
  </si>
  <si>
    <t>Non-MSA Counties and Counties with Only Rural Places</t>
  </si>
  <si>
    <t>Individuals at or Below 200% Poverty</t>
  </si>
  <si>
    <t>HH at or Below 200% Poverty</t>
  </si>
  <si>
    <t>Texas Average HH Size:</t>
  </si>
  <si>
    <t>Initial Subregion Amount</t>
  </si>
  <si>
    <t>Weight of Need Variables:</t>
  </si>
  <si>
    <t>Weight of Availability Variables:</t>
  </si>
  <si>
    <t>Weighted</t>
  </si>
  <si>
    <t>Total Need Variables</t>
  </si>
  <si>
    <t>Vacant Units For Rent</t>
  </si>
  <si>
    <t>% of Total Need Variables</t>
  </si>
  <si>
    <t>Subregion Allocation Floor:</t>
  </si>
  <si>
    <t>Table 1 - Raw Data</t>
  </si>
  <si>
    <t>Table 2 - Weights</t>
  </si>
  <si>
    <t>Overcrowded Renters</t>
  </si>
  <si>
    <t>Total Availability Variable</t>
  </si>
  <si>
    <t>% of Total Availability Variable</t>
  </si>
  <si>
    <t>Cost-Burdened Renters</t>
  </si>
  <si>
    <t>Final Subregion Allocation</t>
  </si>
  <si>
    <t>Table 3 - Reallocation</t>
  </si>
  <si>
    <t>Amount Needed to Reach Subregion Floor</t>
  </si>
  <si>
    <t>Amount that can be Reallocated</t>
  </si>
  <si>
    <t>Amount to be Reallocated</t>
  </si>
  <si>
    <t>% of Total Amount that can be Reallocated</t>
  </si>
  <si>
    <t>% of Total Award</t>
  </si>
  <si>
    <t>Initial Subregion Allocation</t>
  </si>
  <si>
    <t>Grand Total</t>
  </si>
  <si>
    <t>REQUEST LIMITS</t>
  </si>
  <si>
    <t>ELDERLY FUNDING LIMITS</t>
  </si>
  <si>
    <t>Geographic Area</t>
  </si>
  <si>
    <t>Initial Sub-Region Amount</t>
  </si>
  <si>
    <t>Amount needed to reach $600,000</t>
  </si>
  <si>
    <t>Amount over $600,000 that can be reallocated</t>
  </si>
  <si>
    <t>Proportion of amount available to be reallocated</t>
  </si>
  <si>
    <t>Final Funding Amount</t>
  </si>
  <si>
    <t>Allocation %</t>
  </si>
  <si>
    <t>Max Funding Request/Award Limits</t>
  </si>
  <si>
    <t xml:space="preserve">Maximum Elderly Funding Limit </t>
  </si>
  <si>
    <t>Urban</t>
  </si>
  <si>
    <t>Lubbock</t>
  </si>
  <si>
    <t>n/a</t>
  </si>
  <si>
    <t>Abilene</t>
  </si>
  <si>
    <t>Tyler</t>
  </si>
  <si>
    <t>Beaumont</t>
  </si>
  <si>
    <t>Houston</t>
  </si>
  <si>
    <t>Waco</t>
  </si>
  <si>
    <t>Brownsville/Harlingen</t>
  </si>
  <si>
    <t>Rural</t>
  </si>
  <si>
    <t>Urban Totals</t>
  </si>
  <si>
    <t>Rural Totals</t>
  </si>
  <si>
    <t>Regional Totals</t>
  </si>
  <si>
    <t>At-Risk Totals</t>
  </si>
  <si>
    <t>USDA (From At-Risk)</t>
  </si>
  <si>
    <t>NOTES:</t>
  </si>
  <si>
    <t xml:space="preserve">Elderly
Percentage </t>
  </si>
  <si>
    <t>2020 COMPETITIVE (9%) HOUSING TAX CREDIT ESTIMATED ALLOCATION</t>
  </si>
  <si>
    <t xml:space="preserve">2020 STATE OF TEXAS COMPETITIVE HOUSING TAX CREDIT ESTIMATED ALLOCATION, AND SUB-REGIONAL REQUEST AND ELDERLY FUNDING LIMITS </t>
  </si>
  <si>
    <r>
      <t>Dallas/Fort</t>
    </r>
    <r>
      <rPr>
        <b/>
        <sz val="12"/>
        <color indexed="8"/>
        <rFont val="Calibri"/>
        <family val="2"/>
        <scheme val="minor"/>
      </rPr>
      <t xml:space="preserve"> </t>
    </r>
    <r>
      <rPr>
        <sz val="12"/>
        <color indexed="8"/>
        <rFont val="Calibri"/>
        <family val="2"/>
        <scheme val="minor"/>
      </rPr>
      <t>Worth</t>
    </r>
  </si>
  <si>
    <r>
      <t>Austin/Round</t>
    </r>
    <r>
      <rPr>
        <b/>
        <sz val="12"/>
        <color indexed="8"/>
        <rFont val="Calibri"/>
        <family val="2"/>
        <scheme val="minor"/>
      </rPr>
      <t xml:space="preserve"> </t>
    </r>
    <r>
      <rPr>
        <sz val="12"/>
        <color indexed="8"/>
        <rFont val="Calibri"/>
        <family val="2"/>
        <scheme val="minor"/>
      </rPr>
      <t>Rock</t>
    </r>
  </si>
  <si>
    <r>
      <t>San</t>
    </r>
    <r>
      <rPr>
        <b/>
        <sz val="12"/>
        <color indexed="8"/>
        <rFont val="Calibri"/>
        <family val="2"/>
        <scheme val="minor"/>
      </rPr>
      <t xml:space="preserve"> </t>
    </r>
    <r>
      <rPr>
        <sz val="12"/>
        <color indexed="8"/>
        <rFont val="Calibri"/>
        <family val="2"/>
        <scheme val="minor"/>
      </rPr>
      <t>Antonio</t>
    </r>
  </si>
  <si>
    <r>
      <t>Corpus</t>
    </r>
    <r>
      <rPr>
        <b/>
        <sz val="12"/>
        <color indexed="8"/>
        <rFont val="Calibri"/>
        <family val="2"/>
        <scheme val="minor"/>
      </rPr>
      <t xml:space="preserve"> </t>
    </r>
    <r>
      <rPr>
        <sz val="12"/>
        <color indexed="8"/>
        <rFont val="Calibri"/>
        <family val="2"/>
        <scheme val="minor"/>
      </rPr>
      <t>Christi</t>
    </r>
  </si>
  <si>
    <r>
      <t>San</t>
    </r>
    <r>
      <rPr>
        <b/>
        <sz val="12"/>
        <color indexed="8"/>
        <rFont val="Calibri"/>
        <family val="2"/>
        <scheme val="minor"/>
      </rPr>
      <t xml:space="preserve"> </t>
    </r>
    <r>
      <rPr>
        <sz val="12"/>
        <color indexed="8"/>
        <rFont val="Calibri"/>
        <family val="2"/>
        <scheme val="minor"/>
      </rPr>
      <t>Angelo</t>
    </r>
  </si>
  <si>
    <r>
      <t>El</t>
    </r>
    <r>
      <rPr>
        <b/>
        <sz val="12"/>
        <color indexed="8"/>
        <rFont val="Calibri"/>
        <family val="2"/>
        <scheme val="minor"/>
      </rPr>
      <t xml:space="preserve"> </t>
    </r>
    <r>
      <rPr>
        <sz val="12"/>
        <color indexed="8"/>
        <rFont val="Calibri"/>
        <family val="2"/>
        <scheme val="minor"/>
      </rPr>
      <t>Paso</t>
    </r>
  </si>
  <si>
    <t>Total Allocation:</t>
  </si>
  <si>
    <t>Revised March 5, 2020</t>
  </si>
  <si>
    <t>This table reflects the allocation of the estimated Competitive Housing Tax Credit Ceiling that the Department expects to have available for allocation during the 2020 cycle. This initial ceiling is estimated as the 2020 population figure of 28,995,881 (IRS Bulletin 2020-10) multiplied by the 2020 cap rate of $2.8125 (IRS Rev. Proc. 2019-44). The "Elderly Funding Limits" have been revised to reflect 2020 HISTA data. The column labeled "Final Funding Amount" is the column an Applicant can reference to determine the amount of the credit ceiling that is estimated to be available in each subregion for the 2020 cycle.  The column labeled "Max Funding Request/Award Limits" reflects the maximum request limit for each State sub-region in accordance with 10 TAC §11.4(b). An Applicant cannot request or be awarded more than the amounts reflected in the column, which were established based on estimates as of November 20, 2019. These request/award limits are fixed and will not change even if the regional funding amounts change based on future updates.  This chart will be updated as credit is returned during the year.  Returned credits available to be reallocated in 2020 will be reflected in an additional column of the chart as it is updated.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</si>
</sst>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quot;$&quot;* #,##0.00_);_(&quot;$&quot;* \(#,##0.00\);_(&quot;$&quot;* &quot;-&quot;??_);_(@_)"/>
    <numFmt numFmtId="43" formatCode="_(* #,##0.00_);_(* \(#,##0.00\);_(* &quot;-&quot;??_);_(@_)"/>
    <numFmt numFmtId="164" formatCode="_(* #,##0_);_(* \(#,##0\);_(* &quot;-&quot;??_);_(@_)"/>
    <numFmt numFmtId="165" formatCode="0.0%"/>
    <numFmt numFmtId="166" formatCode="_(&quot;$&quot;* #,##0_);_(&quot;$&quot;* \(#,##0\);_(&quot;$&quot;* &quot;-&quot;??_);_(@_)"/>
    <numFmt numFmtId="167" formatCode="&quot;$&quot;#,##0.00"/>
    <numFmt numFmtId="168" formatCode="&quot;$&quot;#,##0"/>
  </numFmts>
  <fonts count="15" x14ac:knownFonts="1">
    <font>
      <sz val="11"/>
      <color theme="1"/>
      <name val="Calibri"/>
      <family val="2"/>
      <scheme val="minor"/>
    </font>
    <font>
      <sz val="11"/>
      <color theme="1"/>
      <name val="Calibri"/>
      <family val="2"/>
      <scheme val="minor"/>
    </font>
    <font>
      <sz val="10"/>
      <color theme="1"/>
      <name val="Calibri"/>
      <family val="2"/>
      <scheme val="minor"/>
    </font>
    <font>
      <sz val="10"/>
      <color rgb="FF000000"/>
      <name val="Calibri"/>
      <family val="2"/>
      <scheme val="minor"/>
    </font>
    <font>
      <b/>
      <sz val="10"/>
      <color theme="1"/>
      <name val="Calibri"/>
      <family val="2"/>
      <scheme val="minor"/>
    </font>
    <font>
      <b/>
      <sz val="12"/>
      <color theme="1"/>
      <name val="Calibri"/>
      <family val="2"/>
      <scheme val="minor"/>
    </font>
    <font>
      <sz val="12"/>
      <color theme="1"/>
      <name val="Calibri"/>
      <family val="2"/>
      <scheme val="minor"/>
    </font>
    <font>
      <b/>
      <sz val="14"/>
      <color theme="1"/>
      <name val="Calibri"/>
      <family val="2"/>
      <scheme val="minor"/>
    </font>
    <font>
      <b/>
      <sz val="12"/>
      <name val="Calibri"/>
      <family val="2"/>
      <scheme val="minor"/>
    </font>
    <font>
      <sz val="12"/>
      <name val="Calibri"/>
      <family val="2"/>
      <scheme val="minor"/>
    </font>
    <font>
      <sz val="12"/>
      <color rgb="FF000000"/>
      <name val="Calibri"/>
      <family val="2"/>
      <scheme val="minor"/>
    </font>
    <font>
      <b/>
      <sz val="12"/>
      <color rgb="FF000000"/>
      <name val="Calibri"/>
      <family val="2"/>
      <scheme val="minor"/>
    </font>
    <font>
      <b/>
      <sz val="12"/>
      <color indexed="8"/>
      <name val="Calibri"/>
      <family val="2"/>
      <scheme val="minor"/>
    </font>
    <font>
      <sz val="12"/>
      <color indexed="8"/>
      <name val="Calibri"/>
      <family val="2"/>
      <scheme val="minor"/>
    </font>
    <font>
      <b/>
      <sz val="10"/>
      <name val="Calibri"/>
      <family val="2"/>
      <scheme val="minor"/>
    </font>
  </fonts>
  <fills count="8">
    <fill>
      <patternFill patternType="none"/>
    </fill>
    <fill>
      <patternFill patternType="gray125"/>
    </fill>
    <fill>
      <patternFill patternType="solid">
        <fgColor theme="2" tint="-0.249977111117893"/>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bgColor indexed="64"/>
      </patternFill>
    </fill>
    <fill>
      <patternFill patternType="solid">
        <fgColor theme="2"/>
        <bgColor indexed="64"/>
      </patternFill>
    </fill>
    <fill>
      <patternFill patternType="solid">
        <fgColor rgb="FFFFFFCC"/>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233">
    <xf numFmtId="0" fontId="0" fillId="0" borderId="0" xfId="0"/>
    <xf numFmtId="0" fontId="2" fillId="0" borderId="0" xfId="0" applyFont="1" applyFill="1" applyBorder="1"/>
    <xf numFmtId="0" fontId="2" fillId="0" borderId="0" xfId="0" applyFont="1" applyFill="1" applyBorder="1" applyAlignment="1">
      <alignment horizontal="center" vertical="center"/>
    </xf>
    <xf numFmtId="9" fontId="2" fillId="0" borderId="0" xfId="0" applyNumberFormat="1" applyFont="1" applyFill="1" applyBorder="1" applyAlignment="1">
      <alignment horizontal="left"/>
    </xf>
    <xf numFmtId="168" fontId="4" fillId="0" borderId="0" xfId="0" applyNumberFormat="1" applyFont="1" applyFill="1" applyBorder="1" applyAlignment="1">
      <alignment horizontal="left"/>
    </xf>
    <xf numFmtId="167" fontId="2" fillId="0" borderId="0" xfId="0" applyNumberFormat="1" applyFont="1" applyFill="1" applyBorder="1" applyAlignment="1">
      <alignment horizontal="left" vertical="center" wrapText="1"/>
    </xf>
    <xf numFmtId="165" fontId="2" fillId="0" borderId="1" xfId="3" applyNumberFormat="1" applyFont="1" applyFill="1" applyBorder="1" applyAlignment="1">
      <alignment horizontal="center" vertical="center"/>
    </xf>
    <xf numFmtId="165" fontId="2" fillId="0" borderId="1" xfId="0" applyNumberFormat="1" applyFont="1" applyFill="1" applyBorder="1" applyAlignment="1">
      <alignment horizontal="center" vertical="center"/>
    </xf>
    <xf numFmtId="165" fontId="2" fillId="0" borderId="4" xfId="3" applyNumberFormat="1" applyFont="1" applyFill="1" applyBorder="1" applyAlignment="1">
      <alignment horizontal="center" vertical="center"/>
    </xf>
    <xf numFmtId="165" fontId="2" fillId="0" borderId="4" xfId="0" applyNumberFormat="1" applyFont="1" applyFill="1" applyBorder="1" applyAlignment="1">
      <alignment horizontal="center" vertical="center"/>
    </xf>
    <xf numFmtId="0" fontId="3" fillId="0" borderId="12" xfId="0" applyFont="1" applyFill="1" applyBorder="1" applyAlignment="1">
      <alignment horizontal="center" vertical="center" wrapText="1"/>
    </xf>
    <xf numFmtId="10" fontId="2" fillId="0" borderId="13" xfId="3"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7" xfId="0" applyFont="1" applyFill="1" applyBorder="1" applyAlignment="1">
      <alignment horizontal="center" vertical="center"/>
    </xf>
    <xf numFmtId="0" fontId="2" fillId="0" borderId="28" xfId="0" applyFont="1" applyFill="1" applyBorder="1" applyAlignment="1">
      <alignment horizontal="center" vertical="center"/>
    </xf>
    <xf numFmtId="0" fontId="2" fillId="3" borderId="29" xfId="0" applyFont="1" applyFill="1" applyBorder="1" applyAlignment="1">
      <alignment horizontal="center" vertical="center"/>
    </xf>
    <xf numFmtId="0" fontId="2" fillId="2" borderId="2" xfId="0" applyFont="1" applyFill="1" applyBorder="1" applyAlignment="1">
      <alignment horizontal="center" vertical="center"/>
    </xf>
    <xf numFmtId="9" fontId="2" fillId="2" borderId="12" xfId="3" applyFont="1" applyFill="1" applyBorder="1" applyAlignment="1">
      <alignment horizontal="center" vertical="center"/>
    </xf>
    <xf numFmtId="10" fontId="2" fillId="2" borderId="13" xfId="3" applyNumberFormat="1" applyFont="1" applyFill="1" applyBorder="1" applyAlignment="1">
      <alignment horizontal="center" vertical="center" wrapText="1"/>
    </xf>
    <xf numFmtId="165" fontId="2" fillId="3" borderId="9" xfId="3" applyNumberFormat="1" applyFont="1" applyFill="1" applyBorder="1" applyAlignment="1">
      <alignment horizontal="center" vertical="center"/>
    </xf>
    <xf numFmtId="10" fontId="2" fillId="3" borderId="10" xfId="3" applyNumberFormat="1"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11" xfId="0" applyFont="1" applyFill="1" applyBorder="1" applyAlignment="1">
      <alignment horizontal="center" vertical="center" wrapText="1"/>
    </xf>
    <xf numFmtId="164" fontId="2" fillId="0" borderId="16" xfId="1" applyNumberFormat="1" applyFont="1" applyFill="1" applyBorder="1" applyAlignment="1">
      <alignment horizontal="center" vertical="center"/>
    </xf>
    <xf numFmtId="166" fontId="2" fillId="0" borderId="5" xfId="2" applyNumberFormat="1" applyFont="1" applyFill="1" applyBorder="1" applyAlignment="1">
      <alignment horizontal="center" vertical="center"/>
    </xf>
    <xf numFmtId="164" fontId="2" fillId="0" borderId="18" xfId="1" applyNumberFormat="1" applyFont="1" applyFill="1" applyBorder="1" applyAlignment="1">
      <alignment horizontal="center" vertical="center"/>
    </xf>
    <xf numFmtId="166" fontId="2" fillId="0" borderId="7" xfId="2" applyNumberFormat="1" applyFont="1" applyFill="1" applyBorder="1" applyAlignment="1">
      <alignment horizontal="center" vertical="center"/>
    </xf>
    <xf numFmtId="164" fontId="2" fillId="3" borderId="20" xfId="1" applyNumberFormat="1" applyFont="1" applyFill="1" applyBorder="1" applyAlignment="1">
      <alignment horizontal="center" vertical="center"/>
    </xf>
    <xf numFmtId="166" fontId="2" fillId="3" borderId="10" xfId="1" applyNumberFormat="1" applyFont="1" applyFill="1" applyBorder="1" applyAlignment="1">
      <alignment horizontal="center" vertical="center"/>
    </xf>
    <xf numFmtId="164" fontId="2" fillId="2" borderId="11" xfId="0" applyNumberFormat="1" applyFont="1" applyFill="1" applyBorder="1" applyAlignment="1">
      <alignment horizontal="center" vertical="center"/>
    </xf>
    <xf numFmtId="166" fontId="2" fillId="2" borderId="13" xfId="3" applyNumberFormat="1" applyFont="1" applyFill="1" applyBorder="1" applyAlignment="1">
      <alignment horizontal="center" vertical="center"/>
    </xf>
    <xf numFmtId="0" fontId="3" fillId="0" borderId="30" xfId="0" applyFont="1" applyFill="1" applyBorder="1" applyAlignment="1">
      <alignment horizontal="center" vertical="center" wrapText="1"/>
    </xf>
    <xf numFmtId="10" fontId="2" fillId="4" borderId="5" xfId="3" applyNumberFormat="1" applyFont="1" applyFill="1" applyBorder="1" applyAlignment="1">
      <alignment horizontal="center" vertical="center" wrapText="1"/>
    </xf>
    <xf numFmtId="10" fontId="2" fillId="4" borderId="7" xfId="3" applyNumberFormat="1" applyFont="1" applyFill="1" applyBorder="1" applyAlignment="1">
      <alignment horizontal="center" vertical="center" wrapText="1"/>
    </xf>
    <xf numFmtId="44" fontId="2" fillId="0" borderId="25" xfId="0" applyNumberFormat="1" applyFont="1" applyFill="1" applyBorder="1" applyAlignment="1">
      <alignment horizontal="center" vertical="center"/>
    </xf>
    <xf numFmtId="44" fontId="2" fillId="4" borderId="16" xfId="0" applyNumberFormat="1" applyFont="1" applyFill="1" applyBorder="1" applyAlignment="1">
      <alignment horizontal="center" vertical="center"/>
    </xf>
    <xf numFmtId="10" fontId="2" fillId="4" borderId="5" xfId="3" applyNumberFormat="1" applyFont="1" applyFill="1" applyBorder="1" applyAlignment="1">
      <alignment horizontal="center" vertical="center"/>
    </xf>
    <xf numFmtId="44" fontId="2" fillId="0" borderId="22" xfId="0" applyNumberFormat="1" applyFont="1" applyFill="1" applyBorder="1" applyAlignment="1">
      <alignment horizontal="center" vertical="center"/>
    </xf>
    <xf numFmtId="44" fontId="2" fillId="4" borderId="18" xfId="0" applyNumberFormat="1" applyFont="1" applyFill="1" applyBorder="1" applyAlignment="1">
      <alignment horizontal="center" vertical="center"/>
    </xf>
    <xf numFmtId="10" fontId="2" fillId="4" borderId="7" xfId="3" applyNumberFormat="1" applyFont="1" applyFill="1" applyBorder="1" applyAlignment="1">
      <alignment horizontal="center" vertical="center"/>
    </xf>
    <xf numFmtId="44" fontId="2" fillId="3" borderId="26" xfId="0" applyNumberFormat="1" applyFont="1" applyFill="1" applyBorder="1" applyAlignment="1">
      <alignment horizontal="center" vertical="center"/>
    </xf>
    <xf numFmtId="44" fontId="2" fillId="3" borderId="21" xfId="0" applyNumberFormat="1" applyFont="1" applyFill="1" applyBorder="1" applyAlignment="1">
      <alignment horizontal="center" vertical="center"/>
    </xf>
    <xf numFmtId="44" fontId="2" fillId="3" borderId="20" xfId="0" applyNumberFormat="1" applyFont="1" applyFill="1" applyBorder="1" applyAlignment="1">
      <alignment horizontal="center" vertical="center"/>
    </xf>
    <xf numFmtId="10" fontId="2" fillId="3" borderId="10" xfId="3" applyNumberFormat="1" applyFont="1" applyFill="1" applyBorder="1" applyAlignment="1">
      <alignment horizontal="center" vertical="center"/>
    </xf>
    <xf numFmtId="44" fontId="2" fillId="2" borderId="24" xfId="0" applyNumberFormat="1" applyFont="1" applyFill="1" applyBorder="1" applyAlignment="1">
      <alignment horizontal="center" vertical="center"/>
    </xf>
    <xf numFmtId="44" fontId="2" fillId="2" borderId="30" xfId="0" applyNumberFormat="1" applyFont="1" applyFill="1" applyBorder="1" applyAlignment="1">
      <alignment horizontal="center" vertical="center"/>
    </xf>
    <xf numFmtId="44" fontId="2" fillId="2" borderId="11" xfId="0" applyNumberFormat="1" applyFont="1" applyFill="1" applyBorder="1" applyAlignment="1">
      <alignment horizontal="center" vertical="center"/>
    </xf>
    <xf numFmtId="10" fontId="2" fillId="2" borderId="13" xfId="3" applyNumberFormat="1" applyFont="1" applyFill="1" applyBorder="1" applyAlignment="1">
      <alignment horizontal="center" vertical="center"/>
    </xf>
    <xf numFmtId="0" fontId="2" fillId="0" borderId="23" xfId="0" applyFont="1" applyFill="1" applyBorder="1" applyAlignment="1">
      <alignment horizontal="center" vertical="center" wrapText="1"/>
    </xf>
    <xf numFmtId="164" fontId="2" fillId="0" borderId="14" xfId="1" applyNumberFormat="1" applyFont="1" applyFill="1" applyBorder="1" applyAlignment="1">
      <alignment horizontal="center" vertical="center" wrapText="1"/>
    </xf>
    <xf numFmtId="164" fontId="2" fillId="0" borderId="31" xfId="1" applyNumberFormat="1" applyFont="1" applyFill="1" applyBorder="1" applyAlignment="1">
      <alignment horizontal="center" vertical="center" wrapText="1"/>
    </xf>
    <xf numFmtId="165" fontId="2" fillId="0" borderId="15" xfId="3" applyNumberFormat="1" applyFont="1" applyFill="1" applyBorder="1" applyAlignment="1">
      <alignment horizontal="center" vertical="center" wrapText="1"/>
    </xf>
    <xf numFmtId="164" fontId="2" fillId="0" borderId="23" xfId="1" applyNumberFormat="1" applyFont="1" applyFill="1" applyBorder="1" applyAlignment="1">
      <alignment horizontal="center" vertical="center" wrapText="1"/>
    </xf>
    <xf numFmtId="0" fontId="3" fillId="0" borderId="14" xfId="0" applyFont="1" applyFill="1" applyBorder="1" applyAlignment="1">
      <alignment horizontal="center" vertical="center" wrapText="1"/>
    </xf>
    <xf numFmtId="9" fontId="3" fillId="0" borderId="31" xfId="3" applyFont="1" applyFill="1" applyBorder="1" applyAlignment="1">
      <alignment horizontal="center" vertical="center" wrapText="1"/>
    </xf>
    <xf numFmtId="10" fontId="3" fillId="0" borderId="15" xfId="3" applyNumberFormat="1" applyFont="1" applyFill="1" applyBorder="1" applyAlignment="1">
      <alignment horizontal="center" vertical="center" wrapText="1"/>
    </xf>
    <xf numFmtId="164" fontId="3" fillId="0" borderId="14" xfId="1" applyNumberFormat="1" applyFont="1" applyFill="1" applyBorder="1" applyAlignment="1">
      <alignment horizontal="center" vertical="center" wrapText="1"/>
    </xf>
    <xf numFmtId="0" fontId="3" fillId="0" borderId="31" xfId="0" applyFont="1" applyFill="1" applyBorder="1" applyAlignment="1">
      <alignment horizontal="center" vertical="center" wrapText="1"/>
    </xf>
    <xf numFmtId="44" fontId="2" fillId="0" borderId="1" xfId="0" applyNumberFormat="1" applyFont="1" applyFill="1" applyBorder="1" applyAlignment="1">
      <alignment horizontal="center" vertical="center"/>
    </xf>
    <xf numFmtId="10" fontId="2" fillId="0" borderId="1" xfId="3" applyNumberFormat="1" applyFont="1" applyFill="1" applyBorder="1" applyAlignment="1">
      <alignment horizontal="center" vertical="center"/>
    </xf>
    <xf numFmtId="44" fontId="2" fillId="0" borderId="4" xfId="0" applyNumberFormat="1" applyFont="1" applyFill="1" applyBorder="1" applyAlignment="1">
      <alignment horizontal="center" vertical="center"/>
    </xf>
    <xf numFmtId="10" fontId="2" fillId="0" borderId="4" xfId="3" applyNumberFormat="1" applyFont="1" applyFill="1" applyBorder="1" applyAlignment="1">
      <alignment horizontal="center" vertical="center"/>
    </xf>
    <xf numFmtId="44" fontId="2" fillId="3" borderId="9" xfId="0" applyNumberFormat="1" applyFont="1" applyFill="1" applyBorder="1" applyAlignment="1">
      <alignment horizontal="center" vertical="center"/>
    </xf>
    <xf numFmtId="10" fontId="2" fillId="3" borderId="9" xfId="0" applyNumberFormat="1" applyFont="1" applyFill="1" applyBorder="1" applyAlignment="1">
      <alignment horizontal="center" vertical="center"/>
    </xf>
    <xf numFmtId="44" fontId="2" fillId="2" borderId="12" xfId="0" applyNumberFormat="1" applyFont="1" applyFill="1" applyBorder="1" applyAlignment="1">
      <alignment horizontal="center" vertical="center"/>
    </xf>
    <xf numFmtId="10" fontId="2" fillId="2" borderId="12" xfId="3" applyNumberFormat="1" applyFont="1" applyFill="1" applyBorder="1" applyAlignment="1">
      <alignment horizontal="center" vertical="center"/>
    </xf>
    <xf numFmtId="44" fontId="2" fillId="0" borderId="17" xfId="3" applyNumberFormat="1" applyFont="1" applyFill="1" applyBorder="1" applyAlignment="1">
      <alignment horizontal="center" vertical="center"/>
    </xf>
    <xf numFmtId="44" fontId="2" fillId="0" borderId="19" xfId="3" applyNumberFormat="1" applyFont="1" applyFill="1" applyBorder="1" applyAlignment="1">
      <alignment horizontal="center" vertical="center"/>
    </xf>
    <xf numFmtId="3" fontId="2" fillId="0" borderId="16" xfId="0" applyNumberFormat="1" applyFont="1" applyFill="1" applyBorder="1" applyAlignment="1">
      <alignment horizontal="center" vertical="center"/>
    </xf>
    <xf numFmtId="3" fontId="2" fillId="0" borderId="4" xfId="1" applyNumberFormat="1" applyFont="1" applyFill="1" applyBorder="1" applyAlignment="1">
      <alignment horizontal="center" vertical="center"/>
    </xf>
    <xf numFmtId="3" fontId="2" fillId="0" borderId="4" xfId="0" applyNumberFormat="1" applyFont="1" applyFill="1" applyBorder="1" applyAlignment="1">
      <alignment horizontal="center" vertical="center"/>
    </xf>
    <xf numFmtId="3" fontId="2" fillId="0" borderId="5" xfId="0" applyNumberFormat="1" applyFont="1" applyFill="1" applyBorder="1" applyAlignment="1">
      <alignment horizontal="center" vertical="center"/>
    </xf>
    <xf numFmtId="3" fontId="2" fillId="0" borderId="18" xfId="0" applyNumberFormat="1" applyFont="1" applyFill="1" applyBorder="1" applyAlignment="1">
      <alignment horizontal="center" vertical="center"/>
    </xf>
    <xf numFmtId="3" fontId="2" fillId="0" borderId="1" xfId="1" applyNumberFormat="1" applyFont="1" applyFill="1" applyBorder="1" applyAlignment="1">
      <alignment horizontal="center" vertical="center"/>
    </xf>
    <xf numFmtId="3" fontId="2" fillId="0" borderId="1" xfId="0" applyNumberFormat="1" applyFont="1" applyFill="1" applyBorder="1" applyAlignment="1">
      <alignment horizontal="center" vertical="center"/>
    </xf>
    <xf numFmtId="3" fontId="2" fillId="0" borderId="7" xfId="0" applyNumberFormat="1" applyFont="1" applyFill="1" applyBorder="1" applyAlignment="1">
      <alignment horizontal="center" vertical="center"/>
    </xf>
    <xf numFmtId="3" fontId="2" fillId="3" borderId="20" xfId="1" applyNumberFormat="1" applyFont="1" applyFill="1" applyBorder="1" applyAlignment="1">
      <alignment horizontal="center" vertical="center"/>
    </xf>
    <xf numFmtId="3" fontId="2" fillId="3" borderId="9" xfId="1" applyNumberFormat="1" applyFont="1" applyFill="1" applyBorder="1" applyAlignment="1">
      <alignment horizontal="center" vertical="center"/>
    </xf>
    <xf numFmtId="3" fontId="2" fillId="3" borderId="10" xfId="1" applyNumberFormat="1" applyFont="1" applyFill="1" applyBorder="1" applyAlignment="1">
      <alignment horizontal="center" vertical="center"/>
    </xf>
    <xf numFmtId="3" fontId="2" fillId="2" borderId="11" xfId="0" applyNumberFormat="1" applyFont="1" applyFill="1" applyBorder="1" applyAlignment="1">
      <alignment horizontal="center" vertical="center"/>
    </xf>
    <xf numFmtId="3" fontId="2" fillId="2" borderId="12" xfId="0" applyNumberFormat="1" applyFont="1" applyFill="1" applyBorder="1" applyAlignment="1">
      <alignment horizontal="center" vertical="center"/>
    </xf>
    <xf numFmtId="3" fontId="2" fillId="2" borderId="13" xfId="0" applyNumberFormat="1" applyFont="1" applyFill="1" applyBorder="1" applyAlignment="1">
      <alignment horizontal="center" vertical="center"/>
    </xf>
    <xf numFmtId="3" fontId="2" fillId="0" borderId="27" xfId="0" applyNumberFormat="1" applyFont="1" applyFill="1" applyBorder="1" applyAlignment="1">
      <alignment horizontal="center" vertical="center"/>
    </xf>
    <xf numFmtId="3" fontId="2" fillId="0" borderId="28" xfId="0" applyNumberFormat="1" applyFont="1" applyFill="1" applyBorder="1" applyAlignment="1">
      <alignment horizontal="center" vertical="center"/>
    </xf>
    <xf numFmtId="3" fontId="2" fillId="3" borderId="29" xfId="1" applyNumberFormat="1" applyFont="1" applyFill="1" applyBorder="1" applyAlignment="1">
      <alignment horizontal="center" vertical="center"/>
    </xf>
    <xf numFmtId="3" fontId="2" fillId="2" borderId="2" xfId="0" applyNumberFormat="1" applyFont="1" applyFill="1" applyBorder="1" applyAlignment="1">
      <alignment horizontal="center" vertical="center"/>
    </xf>
    <xf numFmtId="0" fontId="2" fillId="0" borderId="0" xfId="0" applyFont="1" applyFill="1" applyBorder="1" applyAlignment="1">
      <alignment horizontal="left"/>
    </xf>
    <xf numFmtId="0" fontId="5" fillId="0" borderId="0" xfId="0" applyFont="1" applyFill="1" applyBorder="1" applyAlignment="1">
      <alignment horizontal="center" vertical="center"/>
    </xf>
    <xf numFmtId="0" fontId="6" fillId="0" borderId="0" xfId="0" applyFont="1"/>
    <xf numFmtId="0" fontId="6" fillId="0" borderId="0" xfId="0" applyFont="1" applyFill="1"/>
    <xf numFmtId="0" fontId="6" fillId="0" borderId="0" xfId="0" applyFont="1" applyFill="1" applyBorder="1" applyAlignment="1">
      <alignment vertical="top"/>
    </xf>
    <xf numFmtId="0" fontId="5" fillId="6" borderId="23" xfId="0" applyFont="1" applyFill="1" applyBorder="1" applyAlignment="1">
      <alignment horizontal="center" vertical="center" wrapText="1"/>
    </xf>
    <xf numFmtId="166" fontId="5" fillId="7" borderId="27" xfId="2" applyNumberFormat="1" applyFont="1" applyFill="1" applyBorder="1" applyProtection="1"/>
    <xf numFmtId="10" fontId="5" fillId="6" borderId="16" xfId="2" applyNumberFormat="1" applyFont="1" applyFill="1" applyBorder="1" applyAlignment="1">
      <alignment horizontal="right"/>
    </xf>
    <xf numFmtId="168" fontId="5" fillId="6" borderId="5" xfId="2" applyNumberFormat="1" applyFont="1" applyFill="1" applyBorder="1" applyAlignment="1">
      <alignment horizontal="right"/>
    </xf>
    <xf numFmtId="166" fontId="5" fillId="7" borderId="28" xfId="2" applyNumberFormat="1" applyFont="1" applyFill="1" applyBorder="1" applyProtection="1"/>
    <xf numFmtId="10" fontId="5" fillId="6" borderId="18" xfId="2" applyNumberFormat="1" applyFont="1" applyFill="1" applyBorder="1" applyAlignment="1">
      <alignment horizontal="right"/>
    </xf>
    <xf numFmtId="168" fontId="5" fillId="6" borderId="7" xfId="2" applyNumberFormat="1" applyFont="1" applyFill="1" applyBorder="1" applyAlignment="1">
      <alignment horizontal="right"/>
    </xf>
    <xf numFmtId="166" fontId="5" fillId="7" borderId="29" xfId="2" applyNumberFormat="1" applyFont="1" applyFill="1" applyBorder="1" applyProtection="1"/>
    <xf numFmtId="10" fontId="5" fillId="6" borderId="20" xfId="2" applyNumberFormat="1" applyFont="1" applyFill="1" applyBorder="1" applyAlignment="1">
      <alignment horizontal="right"/>
    </xf>
    <xf numFmtId="168" fontId="5" fillId="6" borderId="10" xfId="2" applyNumberFormat="1" applyFont="1" applyFill="1" applyBorder="1" applyAlignment="1">
      <alignment horizontal="right"/>
    </xf>
    <xf numFmtId="166" fontId="5" fillId="5" borderId="0" xfId="2" applyNumberFormat="1" applyFont="1" applyFill="1" applyProtection="1"/>
    <xf numFmtId="0" fontId="6" fillId="0" borderId="6" xfId="0" applyFont="1" applyBorder="1" applyAlignment="1"/>
    <xf numFmtId="0" fontId="6" fillId="0" borderId="0" xfId="0" applyFont="1" applyAlignment="1"/>
    <xf numFmtId="0" fontId="0" fillId="0" borderId="0" xfId="0" applyFont="1"/>
    <xf numFmtId="0" fontId="8" fillId="0" borderId="0" xfId="0" applyFont="1" applyBorder="1" applyAlignment="1"/>
    <xf numFmtId="0" fontId="9" fillId="0" borderId="0" xfId="0" applyFont="1"/>
    <xf numFmtId="0" fontId="8" fillId="0" borderId="0" xfId="0" applyFont="1" applyBorder="1" applyAlignment="1">
      <alignment vertical="center"/>
    </xf>
    <xf numFmtId="0" fontId="9" fillId="0" borderId="0" xfId="0" applyFont="1" applyBorder="1"/>
    <xf numFmtId="0" fontId="9" fillId="0" borderId="0" xfId="0" applyFont="1" applyBorder="1" applyAlignment="1">
      <alignment horizontal="center"/>
    </xf>
    <xf numFmtId="0" fontId="9" fillId="0" borderId="0" xfId="0" applyFont="1" applyFill="1" applyBorder="1" applyAlignment="1">
      <alignment horizontal="center"/>
    </xf>
    <xf numFmtId="0" fontId="9" fillId="0" borderId="0" xfId="0" applyFont="1" applyFill="1"/>
    <xf numFmtId="0" fontId="9" fillId="0" borderId="0" xfId="0" applyFont="1" applyFill="1" applyBorder="1"/>
    <xf numFmtId="0" fontId="8" fillId="0" borderId="0" xfId="0" applyFont="1" applyFill="1" applyBorder="1" applyAlignment="1">
      <alignment horizontal="center" vertical="center" textRotation="90" wrapText="1"/>
    </xf>
    <xf numFmtId="0" fontId="10" fillId="5" borderId="11" xfId="0" applyFont="1" applyFill="1" applyBorder="1" applyAlignment="1">
      <alignment horizontal="center" vertical="center" textRotation="90" wrapText="1"/>
    </xf>
    <xf numFmtId="0" fontId="10" fillId="5" borderId="12" xfId="0" applyFont="1" applyFill="1" applyBorder="1" applyAlignment="1">
      <alignment horizontal="center" vertical="center" wrapText="1"/>
    </xf>
    <xf numFmtId="0" fontId="11" fillId="6" borderId="12" xfId="0" applyFont="1" applyFill="1" applyBorder="1" applyAlignment="1">
      <alignment horizontal="center" vertical="center" wrapText="1"/>
    </xf>
    <xf numFmtId="0" fontId="10" fillId="5" borderId="13" xfId="0" applyFont="1" applyFill="1" applyBorder="1" applyAlignment="1">
      <alignment horizontal="center" vertical="center" wrapText="1"/>
    </xf>
    <xf numFmtId="0" fontId="11" fillId="6" borderId="2" xfId="0" applyFont="1" applyFill="1" applyBorder="1" applyAlignment="1">
      <alignment horizontal="center" vertical="center" wrapText="1"/>
    </xf>
    <xf numFmtId="0" fontId="8" fillId="0" borderId="0" xfId="0" applyFont="1" applyFill="1" applyBorder="1" applyAlignment="1">
      <alignment vertical="center" textRotation="90"/>
    </xf>
    <xf numFmtId="0" fontId="6" fillId="5" borderId="40" xfId="0" applyFont="1" applyFill="1" applyBorder="1" applyAlignment="1">
      <alignment horizontal="center" vertical="center" wrapText="1"/>
    </xf>
    <xf numFmtId="49" fontId="6" fillId="5" borderId="16" xfId="0" applyNumberFormat="1" applyFont="1" applyFill="1" applyBorder="1" applyAlignment="1">
      <alignment horizontal="left" vertical="center" wrapText="1"/>
    </xf>
    <xf numFmtId="166" fontId="6" fillId="7" borderId="17" xfId="2" applyNumberFormat="1" applyFont="1" applyFill="1" applyBorder="1"/>
    <xf numFmtId="166" fontId="6" fillId="5" borderId="4" xfId="2" applyNumberFormat="1" applyFont="1" applyFill="1" applyBorder="1"/>
    <xf numFmtId="10" fontId="6" fillId="5" borderId="4" xfId="3" applyNumberFormat="1" applyFont="1" applyFill="1" applyBorder="1"/>
    <xf numFmtId="166" fontId="5" fillId="6" borderId="4" xfId="2" applyNumberFormat="1" applyFont="1" applyFill="1" applyBorder="1"/>
    <xf numFmtId="10" fontId="6" fillId="5" borderId="5" xfId="3" applyNumberFormat="1" applyFont="1" applyFill="1" applyBorder="1"/>
    <xf numFmtId="44" fontId="0" fillId="0" borderId="0" xfId="0" applyNumberFormat="1" applyFont="1"/>
    <xf numFmtId="0" fontId="6" fillId="5" borderId="42" xfId="0" applyFont="1" applyFill="1" applyBorder="1" applyAlignment="1">
      <alignment horizontal="center" vertical="center" wrapText="1"/>
    </xf>
    <xf numFmtId="49" fontId="6" fillId="5" borderId="18" xfId="0" applyNumberFormat="1" applyFont="1" applyFill="1" applyBorder="1" applyAlignment="1">
      <alignment horizontal="left" vertical="center" wrapText="1"/>
    </xf>
    <xf numFmtId="166" fontId="6" fillId="7" borderId="19" xfId="2" applyNumberFormat="1" applyFont="1" applyFill="1" applyBorder="1"/>
    <xf numFmtId="166" fontId="6" fillId="5" borderId="43" xfId="2" applyNumberFormat="1" applyFont="1" applyFill="1" applyBorder="1"/>
    <xf numFmtId="10" fontId="6" fillId="5" borderId="43" xfId="3" applyNumberFormat="1" applyFont="1" applyFill="1" applyBorder="1"/>
    <xf numFmtId="166" fontId="5" fillId="6" borderId="1" xfId="2" applyNumberFormat="1" applyFont="1" applyFill="1" applyBorder="1"/>
    <xf numFmtId="10" fontId="6" fillId="5" borderId="44" xfId="3" applyNumberFormat="1" applyFont="1" applyFill="1" applyBorder="1"/>
    <xf numFmtId="0" fontId="6" fillId="5" borderId="33" xfId="0" applyFont="1" applyFill="1" applyBorder="1" applyAlignment="1">
      <alignment horizontal="center" vertical="center" wrapText="1"/>
    </xf>
    <xf numFmtId="49" fontId="6" fillId="5" borderId="20" xfId="0" applyNumberFormat="1" applyFont="1" applyFill="1" applyBorder="1" applyAlignment="1">
      <alignment horizontal="left" vertical="center" wrapText="1"/>
    </xf>
    <xf numFmtId="166" fontId="6" fillId="7" borderId="21" xfId="2" applyNumberFormat="1" applyFont="1" applyFill="1" applyBorder="1"/>
    <xf numFmtId="166" fontId="6" fillId="5" borderId="46" xfId="2" applyNumberFormat="1" applyFont="1" applyFill="1" applyBorder="1"/>
    <xf numFmtId="10" fontId="6" fillId="5" borderId="46" xfId="3" applyNumberFormat="1" applyFont="1" applyFill="1" applyBorder="1"/>
    <xf numFmtId="166" fontId="5" fillId="6" borderId="9" xfId="2" applyNumberFormat="1" applyFont="1" applyFill="1" applyBorder="1"/>
    <xf numFmtId="10" fontId="6" fillId="5" borderId="47" xfId="3" applyNumberFormat="1" applyFont="1" applyFill="1" applyBorder="1"/>
    <xf numFmtId="0" fontId="9" fillId="0" borderId="0" xfId="0" applyFont="1" applyFill="1" applyBorder="1" applyAlignment="1"/>
    <xf numFmtId="0" fontId="6" fillId="5" borderId="0" xfId="0" applyFont="1" applyFill="1" applyBorder="1" applyAlignment="1">
      <alignment horizontal="center" vertical="center" wrapText="1"/>
    </xf>
    <xf numFmtId="49" fontId="6" fillId="5" borderId="0" xfId="0" applyNumberFormat="1" applyFont="1" applyFill="1" applyBorder="1" applyAlignment="1">
      <alignment horizontal="left" vertical="center" wrapText="1"/>
    </xf>
    <xf numFmtId="166" fontId="6" fillId="5" borderId="0" xfId="2" applyNumberFormat="1" applyFont="1" applyFill="1" applyBorder="1"/>
    <xf numFmtId="166" fontId="6" fillId="5" borderId="12" xfId="2" applyNumberFormat="1" applyFont="1" applyFill="1" applyBorder="1"/>
    <xf numFmtId="166" fontId="6" fillId="5" borderId="30" xfId="2" applyNumberFormat="1" applyFont="1" applyFill="1" applyBorder="1"/>
    <xf numFmtId="9" fontId="6" fillId="5" borderId="32" xfId="3" applyFont="1" applyFill="1" applyBorder="1"/>
    <xf numFmtId="166" fontId="6" fillId="5" borderId="32" xfId="2" applyNumberFormat="1" applyFont="1" applyFill="1" applyBorder="1"/>
    <xf numFmtId="166" fontId="5" fillId="0" borderId="32" xfId="2" applyNumberFormat="1" applyFont="1" applyFill="1" applyBorder="1"/>
    <xf numFmtId="10" fontId="6" fillId="5" borderId="32" xfId="3" applyNumberFormat="1" applyFont="1" applyFill="1" applyBorder="1"/>
    <xf numFmtId="166" fontId="5" fillId="0" borderId="0" xfId="0" applyNumberFormat="1" applyFont="1" applyFill="1" applyBorder="1"/>
    <xf numFmtId="0" fontId="6" fillId="5" borderId="16" xfId="0" applyFont="1" applyFill="1" applyBorder="1" applyAlignment="1">
      <alignment horizontal="center" vertical="center" wrapText="1"/>
    </xf>
    <xf numFmtId="49" fontId="6" fillId="5" borderId="4" xfId="0" applyNumberFormat="1" applyFont="1" applyFill="1" applyBorder="1" applyAlignment="1">
      <alignment horizontal="left" vertical="center" wrapText="1"/>
    </xf>
    <xf numFmtId="0" fontId="6" fillId="5" borderId="18" xfId="0" applyFont="1" applyFill="1" applyBorder="1" applyAlignment="1">
      <alignment horizontal="center" vertical="center" wrapText="1"/>
    </xf>
    <xf numFmtId="49" fontId="6" fillId="5" borderId="1" xfId="0" applyNumberFormat="1" applyFont="1" applyFill="1" applyBorder="1" applyAlignment="1">
      <alignment horizontal="left" vertical="center" wrapText="1"/>
    </xf>
    <xf numFmtId="0" fontId="6" fillId="5" borderId="20" xfId="0" applyFont="1" applyFill="1" applyBorder="1" applyAlignment="1">
      <alignment horizontal="center" vertical="center" wrapText="1"/>
    </xf>
    <xf numFmtId="49" fontId="6" fillId="5" borderId="9" xfId="0" applyNumberFormat="1" applyFont="1" applyFill="1" applyBorder="1" applyAlignment="1">
      <alignment horizontal="left" vertical="center" wrapText="1"/>
    </xf>
    <xf numFmtId="166" fontId="6" fillId="5" borderId="9" xfId="2" applyNumberFormat="1" applyFont="1" applyFill="1" applyBorder="1"/>
    <xf numFmtId="0" fontId="8" fillId="0" borderId="0" xfId="0" applyFont="1" applyBorder="1" applyAlignment="1">
      <alignment horizontal="center" vertical="center" textRotation="90"/>
    </xf>
    <xf numFmtId="0" fontId="6" fillId="5" borderId="0" xfId="0" applyFont="1" applyFill="1"/>
    <xf numFmtId="166" fontId="6" fillId="5" borderId="0" xfId="2" applyNumberFormat="1" applyFont="1" applyFill="1"/>
    <xf numFmtId="166" fontId="5" fillId="5" borderId="0" xfId="2" applyNumberFormat="1" applyFont="1" applyFill="1"/>
    <xf numFmtId="0" fontId="9" fillId="0" borderId="0" xfId="0" applyFont="1" applyAlignment="1">
      <alignment horizontal="center"/>
    </xf>
    <xf numFmtId="0" fontId="6" fillId="5" borderId="16" xfId="0" applyFont="1" applyFill="1" applyBorder="1" applyAlignment="1">
      <alignment horizontal="left" vertical="center" wrapText="1"/>
    </xf>
    <xf numFmtId="9" fontId="6" fillId="5" borderId="4" xfId="3" applyFont="1" applyFill="1" applyBorder="1"/>
    <xf numFmtId="166" fontId="9" fillId="0" borderId="0" xfId="0" applyNumberFormat="1" applyFont="1" applyFill="1"/>
    <xf numFmtId="0" fontId="6" fillId="5" borderId="20" xfId="0" applyFont="1" applyFill="1" applyBorder="1" applyAlignment="1">
      <alignment horizontal="left" vertical="center" wrapText="1"/>
    </xf>
    <xf numFmtId="9" fontId="6" fillId="5" borderId="9" xfId="3" applyFont="1" applyFill="1" applyBorder="1"/>
    <xf numFmtId="10" fontId="6" fillId="5" borderId="10" xfId="3" applyNumberFormat="1" applyFont="1" applyFill="1" applyBorder="1"/>
    <xf numFmtId="0" fontId="6" fillId="5" borderId="0" xfId="0" applyFont="1" applyFill="1" applyBorder="1" applyAlignment="1">
      <alignment horizontal="left" vertical="center" wrapText="1"/>
    </xf>
    <xf numFmtId="9" fontId="6" fillId="5" borderId="0" xfId="3" applyFont="1" applyFill="1" applyBorder="1"/>
    <xf numFmtId="44" fontId="6" fillId="5" borderId="0" xfId="2" applyNumberFormat="1" applyFont="1" applyFill="1" applyBorder="1"/>
    <xf numFmtId="166" fontId="5" fillId="5" borderId="0" xfId="2" applyNumberFormat="1" applyFont="1" applyFill="1" applyBorder="1"/>
    <xf numFmtId="10" fontId="6" fillId="5" borderId="0" xfId="3" applyNumberFormat="1" applyFont="1" applyFill="1" applyBorder="1"/>
    <xf numFmtId="0" fontId="8" fillId="0" borderId="0" xfId="0" applyFont="1" applyBorder="1" applyAlignment="1">
      <alignment horizontal="center"/>
    </xf>
    <xf numFmtId="166" fontId="6" fillId="5" borderId="17" xfId="3" applyNumberFormat="1" applyFont="1" applyFill="1" applyBorder="1"/>
    <xf numFmtId="44" fontId="6" fillId="5" borderId="25" xfId="3" applyNumberFormat="1" applyFont="1" applyFill="1" applyBorder="1"/>
    <xf numFmtId="166" fontId="5" fillId="5" borderId="4" xfId="2" applyNumberFormat="1" applyFont="1" applyFill="1" applyBorder="1"/>
    <xf numFmtId="0" fontId="6" fillId="5" borderId="18" xfId="0" applyFont="1" applyFill="1" applyBorder="1" applyAlignment="1">
      <alignment horizontal="left" vertical="center" wrapText="1"/>
    </xf>
    <xf numFmtId="166" fontId="6" fillId="5" borderId="1" xfId="2" applyNumberFormat="1" applyFont="1" applyFill="1" applyBorder="1"/>
    <xf numFmtId="166" fontId="6" fillId="5" borderId="19" xfId="0" applyNumberFormat="1" applyFont="1" applyFill="1" applyBorder="1"/>
    <xf numFmtId="166" fontId="6" fillId="5" borderId="48" xfId="0" applyNumberFormat="1" applyFont="1" applyFill="1" applyBorder="1"/>
    <xf numFmtId="166" fontId="6" fillId="5" borderId="48" xfId="3" applyNumberFormat="1" applyFont="1" applyFill="1" applyBorder="1"/>
    <xf numFmtId="44" fontId="6" fillId="5" borderId="22" xfId="3" applyNumberFormat="1" applyFont="1" applyFill="1" applyBorder="1"/>
    <xf numFmtId="166" fontId="5" fillId="5" borderId="1" xfId="2" applyNumberFormat="1" applyFont="1" applyFill="1" applyBorder="1"/>
    <xf numFmtId="10" fontId="6" fillId="5" borderId="7" xfId="3" applyNumberFormat="1" applyFont="1" applyFill="1" applyBorder="1"/>
    <xf numFmtId="0" fontId="6" fillId="5" borderId="0" xfId="0" applyFont="1" applyFill="1" applyBorder="1" applyAlignment="1">
      <alignment horizontal="center"/>
    </xf>
    <xf numFmtId="0" fontId="6" fillId="3" borderId="18" xfId="0" applyFont="1" applyFill="1" applyBorder="1" applyAlignment="1">
      <alignment horizontal="center" vertical="center" wrapText="1"/>
    </xf>
    <xf numFmtId="166" fontId="6" fillId="3" borderId="1" xfId="2" applyNumberFormat="1" applyFont="1" applyFill="1" applyBorder="1"/>
    <xf numFmtId="166" fontId="6" fillId="3" borderId="19" xfId="0" applyNumberFormat="1" applyFont="1" applyFill="1" applyBorder="1"/>
    <xf numFmtId="166" fontId="6" fillId="3" borderId="48" xfId="0" applyNumberFormat="1" applyFont="1" applyFill="1" applyBorder="1"/>
    <xf numFmtId="166" fontId="6" fillId="3" borderId="48" xfId="3" applyNumberFormat="1" applyFont="1" applyFill="1" applyBorder="1"/>
    <xf numFmtId="44" fontId="6" fillId="3" borderId="22" xfId="3" applyNumberFormat="1" applyFont="1" applyFill="1" applyBorder="1"/>
    <xf numFmtId="166" fontId="5" fillId="3" borderId="1" xfId="2" applyNumberFormat="1" applyFont="1" applyFill="1" applyBorder="1"/>
    <xf numFmtId="166" fontId="6" fillId="7" borderId="9" xfId="2" applyNumberFormat="1" applyFont="1" applyFill="1" applyBorder="1"/>
    <xf numFmtId="166" fontId="6" fillId="5" borderId="21" xfId="0" applyNumberFormat="1" applyFont="1" applyFill="1" applyBorder="1"/>
    <xf numFmtId="166" fontId="6" fillId="5" borderId="34" xfId="0" applyNumberFormat="1" applyFont="1" applyFill="1" applyBorder="1"/>
    <xf numFmtId="166" fontId="6" fillId="5" borderId="34" xfId="3" applyNumberFormat="1" applyFont="1" applyFill="1" applyBorder="1"/>
    <xf numFmtId="44" fontId="6" fillId="5" borderId="26" xfId="3" applyNumberFormat="1" applyFont="1" applyFill="1" applyBorder="1"/>
    <xf numFmtId="166" fontId="5" fillId="5" borderId="9" xfId="2" applyNumberFormat="1" applyFont="1" applyFill="1" applyBorder="1"/>
    <xf numFmtId="0" fontId="9" fillId="0" borderId="0" xfId="0" applyFont="1" applyFill="1" applyAlignment="1">
      <alignment horizontal="center"/>
    </xf>
    <xf numFmtId="0" fontId="5" fillId="5" borderId="0" xfId="0" applyFont="1" applyFill="1" applyBorder="1" applyAlignment="1">
      <alignment horizontal="left" vertical="top" wrapText="1"/>
    </xf>
    <xf numFmtId="166" fontId="6" fillId="5" borderId="0" xfId="0" applyNumberFormat="1" applyFont="1" applyFill="1" applyBorder="1"/>
    <xf numFmtId="166" fontId="6" fillId="5" borderId="0" xfId="3" applyNumberFormat="1" applyFont="1" applyFill="1" applyBorder="1"/>
    <xf numFmtId="44" fontId="6" fillId="5" borderId="0" xfId="3" applyNumberFormat="1" applyFont="1" applyFill="1" applyBorder="1"/>
    <xf numFmtId="0" fontId="8" fillId="0" borderId="0" xfId="0" applyFont="1"/>
    <xf numFmtId="0" fontId="14" fillId="0" borderId="0" xfId="0" applyFont="1" applyBorder="1" applyAlignment="1">
      <alignment horizontal="left"/>
    </xf>
    <xf numFmtId="0" fontId="2" fillId="0" borderId="3" xfId="0" applyFont="1" applyFill="1" applyBorder="1" applyAlignment="1">
      <alignment horizontal="center" vertical="center" textRotation="90" wrapText="1"/>
    </xf>
    <xf numFmtId="0" fontId="2" fillId="0" borderId="6" xfId="0" applyFont="1" applyFill="1" applyBorder="1" applyAlignment="1">
      <alignment horizontal="center" vertical="center" textRotation="90" wrapText="1"/>
    </xf>
    <xf numFmtId="0" fontId="2" fillId="0" borderId="8" xfId="0" applyFont="1" applyFill="1" applyBorder="1" applyAlignment="1">
      <alignment horizontal="center" vertical="center" textRotation="90" wrapText="1"/>
    </xf>
    <xf numFmtId="0" fontId="5" fillId="0" borderId="0" xfId="0" applyFont="1" applyFill="1" applyBorder="1" applyAlignment="1">
      <alignment horizontal="center" vertical="center"/>
    </xf>
    <xf numFmtId="0" fontId="2" fillId="0" borderId="0" xfId="0" applyFont="1" applyFill="1" applyBorder="1" applyAlignment="1">
      <alignment horizontal="right"/>
    </xf>
    <xf numFmtId="0" fontId="4" fillId="0" borderId="0" xfId="0" applyFont="1" applyFill="1" applyBorder="1" applyAlignment="1">
      <alignment horizontal="right" vertical="center"/>
    </xf>
    <xf numFmtId="44" fontId="2" fillId="0" borderId="0" xfId="0" applyNumberFormat="1" applyFont="1" applyFill="1" applyBorder="1" applyAlignment="1">
      <alignment horizontal="right" vertical="center" wrapText="1"/>
    </xf>
    <xf numFmtId="0" fontId="7" fillId="0" borderId="35" xfId="0" applyFont="1" applyBorder="1" applyAlignment="1">
      <alignment horizontal="center" vertical="center"/>
    </xf>
    <xf numFmtId="0" fontId="6" fillId="5" borderId="0" xfId="0" applyFont="1" applyFill="1" applyBorder="1" applyAlignment="1">
      <alignment horizontal="left" vertical="top" wrapText="1"/>
    </xf>
    <xf numFmtId="0" fontId="8" fillId="4" borderId="3" xfId="0" applyFont="1" applyFill="1" applyBorder="1" applyAlignment="1">
      <alignment horizontal="center" vertical="center" wrapText="1"/>
    </xf>
    <xf numFmtId="0" fontId="8" fillId="4" borderId="36" xfId="0" applyFont="1" applyFill="1" applyBorder="1" applyAlignment="1">
      <alignment horizontal="center" vertical="center" wrapText="1"/>
    </xf>
    <xf numFmtId="0" fontId="8" fillId="4" borderId="37"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8" fillId="4" borderId="35" xfId="0" applyFont="1" applyFill="1" applyBorder="1" applyAlignment="1">
      <alignment horizontal="center" vertical="center" wrapText="1"/>
    </xf>
    <xf numFmtId="0" fontId="8" fillId="4" borderId="38" xfId="0" applyFont="1" applyFill="1" applyBorder="1" applyAlignment="1">
      <alignment horizontal="center" vertical="center" wrapText="1"/>
    </xf>
    <xf numFmtId="0" fontId="8" fillId="4" borderId="23" xfId="0" applyFont="1" applyFill="1" applyBorder="1" applyAlignment="1">
      <alignment horizontal="center" vertical="center"/>
    </xf>
    <xf numFmtId="0" fontId="8" fillId="4" borderId="39" xfId="0" applyFont="1" applyFill="1" applyBorder="1" applyAlignment="1">
      <alignment horizontal="center" vertical="center"/>
    </xf>
    <xf numFmtId="0" fontId="8" fillId="4" borderId="3" xfId="0" applyFont="1" applyFill="1" applyBorder="1" applyAlignment="1">
      <alignment horizontal="center" vertical="center"/>
    </xf>
    <xf numFmtId="0" fontId="8" fillId="4" borderId="37" xfId="0" applyFont="1" applyFill="1" applyBorder="1" applyAlignment="1">
      <alignment horizontal="center" vertical="center"/>
    </xf>
    <xf numFmtId="0" fontId="8" fillId="4" borderId="8" xfId="0" applyFont="1" applyFill="1" applyBorder="1" applyAlignment="1">
      <alignment horizontal="center" vertical="center"/>
    </xf>
    <xf numFmtId="0" fontId="8" fillId="4" borderId="38" xfId="0" applyFont="1" applyFill="1" applyBorder="1" applyAlignment="1">
      <alignment horizontal="center" vertical="center"/>
    </xf>
    <xf numFmtId="0" fontId="8" fillId="3" borderId="14" xfId="0" applyFont="1" applyFill="1" applyBorder="1" applyAlignment="1">
      <alignment horizontal="center" vertical="center" textRotation="90"/>
    </xf>
    <xf numFmtId="0" fontId="8" fillId="3" borderId="41" xfId="0" applyFont="1" applyFill="1" applyBorder="1" applyAlignment="1">
      <alignment horizontal="center" vertical="center" textRotation="90"/>
    </xf>
    <xf numFmtId="0" fontId="8" fillId="3" borderId="45" xfId="0" applyFont="1" applyFill="1" applyBorder="1" applyAlignment="1">
      <alignment horizontal="center" vertical="center" textRotation="90"/>
    </xf>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9</xdr:col>
      <xdr:colOff>355759</xdr:colOff>
      <xdr:row>16</xdr:row>
      <xdr:rowOff>110967</xdr:rowOff>
    </xdr:from>
    <xdr:ext cx="184731" cy="264560"/>
    <xdr:sp macro="" textlink="">
      <xdr:nvSpPr>
        <xdr:cNvPr id="2" name="TextBox 1"/>
        <xdr:cNvSpPr txBox="1"/>
      </xdr:nvSpPr>
      <xdr:spPr>
        <a:xfrm>
          <a:off x="8794909" y="394954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355759</xdr:colOff>
      <xdr:row>16</xdr:row>
      <xdr:rowOff>110967</xdr:rowOff>
    </xdr:from>
    <xdr:ext cx="184731" cy="264560"/>
    <xdr:sp macro="" textlink="">
      <xdr:nvSpPr>
        <xdr:cNvPr id="3" name="TextBox 2"/>
        <xdr:cNvSpPr txBox="1"/>
      </xdr:nvSpPr>
      <xdr:spPr>
        <a:xfrm>
          <a:off x="8794909" y="394954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355759</xdr:colOff>
      <xdr:row>16</xdr:row>
      <xdr:rowOff>110967</xdr:rowOff>
    </xdr:from>
    <xdr:ext cx="184731" cy="264560"/>
    <xdr:sp macro="" textlink="">
      <xdr:nvSpPr>
        <xdr:cNvPr id="4" name="TextBox 3"/>
        <xdr:cNvSpPr txBox="1"/>
      </xdr:nvSpPr>
      <xdr:spPr>
        <a:xfrm>
          <a:off x="8794909" y="394954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5"/>
  <sheetViews>
    <sheetView view="pageLayout" topLeftCell="Q1" zoomScale="80" zoomScaleNormal="100" zoomScalePageLayoutView="80" workbookViewId="0">
      <selection activeCell="T17" sqref="T17:T29"/>
    </sheetView>
  </sheetViews>
  <sheetFormatPr defaultColWidth="9.109375" defaultRowHeight="13.8" x14ac:dyDescent="0.3"/>
  <cols>
    <col min="1" max="1" width="6" style="1" customWidth="1"/>
    <col min="2" max="2" width="7.5546875" style="1" bestFit="1" customWidth="1"/>
    <col min="3" max="3" width="31" style="1" customWidth="1"/>
    <col min="4" max="4" width="24.109375" style="1" customWidth="1"/>
    <col min="5" max="5" width="21.5546875" style="1" customWidth="1"/>
    <col min="6" max="7" width="21" style="1" customWidth="1"/>
    <col min="8" max="8" width="6" style="1" customWidth="1"/>
    <col min="9" max="9" width="7.6640625" style="1" bestFit="1" customWidth="1"/>
    <col min="10" max="10" width="10.6640625" style="1" customWidth="1"/>
    <col min="11" max="11" width="14.109375" style="1" customWidth="1"/>
    <col min="12" max="12" width="14.21875" style="1" bestFit="1" customWidth="1"/>
    <col min="13" max="13" width="16.44140625" style="1" customWidth="1"/>
    <col min="14" max="14" width="19.109375" style="1" customWidth="1"/>
    <col min="15" max="15" width="14" style="1" bestFit="1" customWidth="1"/>
    <col min="16" max="16" width="17.109375" style="1" customWidth="1"/>
    <col min="17" max="17" width="14.33203125" style="1" bestFit="1" customWidth="1"/>
    <col min="18" max="18" width="6" style="1" customWidth="1"/>
    <col min="19" max="19" width="7.6640625" style="1" bestFit="1" customWidth="1"/>
    <col min="20" max="20" width="16" style="1" customWidth="1"/>
    <col min="21" max="21" width="19.21875" style="1" bestFit="1" customWidth="1"/>
    <col min="22" max="22" width="17" style="1" customWidth="1"/>
    <col min="23" max="23" width="19.33203125" style="1" bestFit="1" customWidth="1"/>
    <col min="24" max="24" width="15.88671875" style="1" customWidth="1"/>
    <col min="25" max="25" width="16" style="1" customWidth="1"/>
    <col min="26" max="26" width="11.6640625" style="1" customWidth="1"/>
    <col min="27" max="16384" width="9.109375" style="1"/>
  </cols>
  <sheetData>
    <row r="1" spans="1:26" s="87" customFormat="1" ht="16.2" thickBot="1" x14ac:dyDescent="0.35">
      <c r="A1" s="212" t="s">
        <v>16</v>
      </c>
      <c r="B1" s="212"/>
      <c r="C1" s="212"/>
      <c r="D1" s="212"/>
      <c r="E1" s="212"/>
      <c r="F1" s="212"/>
      <c r="G1" s="212"/>
      <c r="H1" s="212" t="s">
        <v>17</v>
      </c>
      <c r="I1" s="212"/>
      <c r="J1" s="212"/>
      <c r="K1" s="212"/>
      <c r="L1" s="212"/>
      <c r="M1" s="212"/>
      <c r="N1" s="212"/>
      <c r="O1" s="212"/>
      <c r="P1" s="212"/>
      <c r="Q1" s="212"/>
      <c r="R1" s="212" t="s">
        <v>23</v>
      </c>
      <c r="S1" s="212"/>
      <c r="T1" s="212"/>
      <c r="U1" s="212"/>
      <c r="V1" s="212"/>
      <c r="W1" s="212"/>
      <c r="X1" s="212"/>
      <c r="Y1" s="212"/>
      <c r="Z1" s="212"/>
    </row>
    <row r="2" spans="1:26" s="2" customFormat="1" ht="28.2" thickBot="1" x14ac:dyDescent="0.35">
      <c r="B2" s="48" t="s">
        <v>1</v>
      </c>
      <c r="C2" s="49" t="s">
        <v>5</v>
      </c>
      <c r="D2" s="50" t="s">
        <v>6</v>
      </c>
      <c r="E2" s="50" t="s">
        <v>21</v>
      </c>
      <c r="F2" s="51" t="s">
        <v>18</v>
      </c>
      <c r="G2" s="52" t="s">
        <v>13</v>
      </c>
      <c r="I2" s="48" t="s">
        <v>1</v>
      </c>
      <c r="J2" s="53" t="s">
        <v>12</v>
      </c>
      <c r="K2" s="54" t="s">
        <v>14</v>
      </c>
      <c r="L2" s="55" t="s">
        <v>11</v>
      </c>
      <c r="M2" s="56" t="s">
        <v>19</v>
      </c>
      <c r="N2" s="57" t="s">
        <v>20</v>
      </c>
      <c r="O2" s="55" t="s">
        <v>11</v>
      </c>
      <c r="P2" s="22" t="s">
        <v>29</v>
      </c>
      <c r="Q2" s="11" t="s">
        <v>28</v>
      </c>
      <c r="S2" s="12" t="s">
        <v>1</v>
      </c>
      <c r="T2" s="21" t="s">
        <v>8</v>
      </c>
      <c r="U2" s="10" t="s">
        <v>24</v>
      </c>
      <c r="V2" s="10" t="s">
        <v>25</v>
      </c>
      <c r="W2" s="10" t="s">
        <v>27</v>
      </c>
      <c r="X2" s="31" t="s">
        <v>26</v>
      </c>
      <c r="Y2" s="22" t="s">
        <v>22</v>
      </c>
      <c r="Z2" s="11" t="s">
        <v>28</v>
      </c>
    </row>
    <row r="3" spans="1:26" s="2" customFormat="1" ht="12.75" customHeight="1" x14ac:dyDescent="0.3">
      <c r="A3" s="209" t="s">
        <v>3</v>
      </c>
      <c r="B3" s="13">
        <v>1</v>
      </c>
      <c r="C3" s="68">
        <v>198101</v>
      </c>
      <c r="D3" s="69">
        <v>69753.873239436623</v>
      </c>
      <c r="E3" s="70">
        <v>38557</v>
      </c>
      <c r="F3" s="71">
        <v>4453</v>
      </c>
      <c r="G3" s="82">
        <v>8155</v>
      </c>
      <c r="H3" s="209" t="s">
        <v>3</v>
      </c>
      <c r="I3" s="13">
        <v>1</v>
      </c>
      <c r="J3" s="23">
        <f t="shared" ref="J3:J15" si="0">SUM(D3:F3)</f>
        <v>112763.87323943662</v>
      </c>
      <c r="K3" s="8">
        <f>J3/$J$31</f>
        <v>2.1386932588422457E-2</v>
      </c>
      <c r="L3" s="24">
        <f t="shared" ref="L3:L15" si="1">K3*($Q$32*$Q$33)</f>
        <v>2223813.1863833694</v>
      </c>
      <c r="M3" s="23">
        <f t="shared" ref="M3:M15" si="2">SUM(G3:G3)</f>
        <v>8155</v>
      </c>
      <c r="N3" s="9">
        <f>M3/$M$31</f>
        <v>2.709527369382839E-2</v>
      </c>
      <c r="O3" s="24">
        <f t="shared" ref="O3:O15" si="3">N3*($Q$32*$Q$34)</f>
        <v>-939122.15913281834</v>
      </c>
      <c r="P3" s="35">
        <f>L3+O3</f>
        <v>1284691.0272505512</v>
      </c>
      <c r="Q3" s="32">
        <f>P3/$P$31</f>
        <v>1.8532762035719498E-2</v>
      </c>
      <c r="R3" s="209" t="s">
        <v>3</v>
      </c>
      <c r="S3" s="13">
        <v>1</v>
      </c>
      <c r="T3" s="34">
        <f>P3</f>
        <v>1284691.0272505512</v>
      </c>
      <c r="U3" s="60">
        <f>IF(T3&lt;$Z$32, $Z$32-T3, 0)</f>
        <v>0</v>
      </c>
      <c r="V3" s="60">
        <f>IF(T3&lt;$Z$32, 0, T3-$Z$32)</f>
        <v>684691.02725055115</v>
      </c>
      <c r="W3" s="61">
        <f t="shared" ref="W3:W15" si="4">IF(T3&lt;$Z$32, 0, (T3-$Z$32)/$V$31)</f>
        <v>1.2426336897414124E-2</v>
      </c>
      <c r="X3" s="66">
        <f t="shared" ref="X3:X15" si="5">IF(T3&lt;$Z$32, U3, -W3*$U$31)</f>
        <v>-17148.23397413846</v>
      </c>
      <c r="Y3" s="35">
        <f>T3+X3</f>
        <v>1267542.7932764126</v>
      </c>
      <c r="Z3" s="36">
        <f>Y3/$Y$31</f>
        <v>1.8285384158210925E-2</v>
      </c>
    </row>
    <row r="4" spans="1:26" s="2" customFormat="1" x14ac:dyDescent="0.3">
      <c r="A4" s="210"/>
      <c r="B4" s="14">
        <v>2</v>
      </c>
      <c r="C4" s="72">
        <v>100682</v>
      </c>
      <c r="D4" s="73">
        <v>35451.408450704228</v>
      </c>
      <c r="E4" s="74">
        <v>17840</v>
      </c>
      <c r="F4" s="75">
        <v>1448</v>
      </c>
      <c r="G4" s="83">
        <v>4356</v>
      </c>
      <c r="H4" s="210"/>
      <c r="I4" s="14">
        <v>2</v>
      </c>
      <c r="J4" s="25">
        <f t="shared" si="0"/>
        <v>54739.408450704228</v>
      </c>
      <c r="K4" s="6">
        <f t="shared" ref="K4:K15" si="6">J4/$J$31</f>
        <v>1.0381942415010139E-2</v>
      </c>
      <c r="L4" s="26">
        <f t="shared" si="1"/>
        <v>1079514.341166927</v>
      </c>
      <c r="M4" s="25">
        <f t="shared" si="2"/>
        <v>4356</v>
      </c>
      <c r="N4" s="7">
        <f t="shared" ref="N4:N15" si="7">M4/$M$31</f>
        <v>1.4472962870670321E-2</v>
      </c>
      <c r="O4" s="26">
        <f t="shared" si="3"/>
        <v>-501632.87862447044</v>
      </c>
      <c r="P4" s="38">
        <f t="shared" ref="P4:P15" si="8">L4+O4</f>
        <v>577881.46254245657</v>
      </c>
      <c r="Q4" s="33">
        <f t="shared" ref="Q4:Q15" si="9">P4/$P$31</f>
        <v>8.3364321871800505E-3</v>
      </c>
      <c r="R4" s="210"/>
      <c r="S4" s="14">
        <v>2</v>
      </c>
      <c r="T4" s="37">
        <f t="shared" ref="T4:T15" si="10">P4</f>
        <v>577881.46254245657</v>
      </c>
      <c r="U4" s="58">
        <f t="shared" ref="U4:U15" si="11">IF(T4&lt;$Z$32, $Z$32-T4, 0)</f>
        <v>22118.537457543425</v>
      </c>
      <c r="V4" s="58">
        <f t="shared" ref="V4:V15" si="12">IF(T4&lt;$Z$32, 0, T4-$Z$32)</f>
        <v>0</v>
      </c>
      <c r="W4" s="59">
        <f t="shared" si="4"/>
        <v>0</v>
      </c>
      <c r="X4" s="67">
        <f t="shared" si="5"/>
        <v>22118.537457543425</v>
      </c>
      <c r="Y4" s="38">
        <f t="shared" ref="Y4:Y15" si="13">T4+X4</f>
        <v>600000</v>
      </c>
      <c r="Z4" s="39">
        <f t="shared" ref="Z4:Z15" si="14">Y4/$Y$31</f>
        <v>8.655510924856058E-3</v>
      </c>
    </row>
    <row r="5" spans="1:26" s="2" customFormat="1" x14ac:dyDescent="0.3">
      <c r="A5" s="210"/>
      <c r="B5" s="14">
        <v>3</v>
      </c>
      <c r="C5" s="72">
        <v>2267041</v>
      </c>
      <c r="D5" s="73">
        <v>798253.87323943665</v>
      </c>
      <c r="E5" s="74">
        <v>448972</v>
      </c>
      <c r="F5" s="75">
        <v>76635</v>
      </c>
      <c r="G5" s="83">
        <v>76183</v>
      </c>
      <c r="H5" s="210"/>
      <c r="I5" s="14">
        <v>3</v>
      </c>
      <c r="J5" s="25">
        <f t="shared" si="0"/>
        <v>1323860.8732394367</v>
      </c>
      <c r="K5" s="6">
        <f t="shared" si="6"/>
        <v>0.25108505445093182</v>
      </c>
      <c r="L5" s="26">
        <f t="shared" si="1"/>
        <v>26107823.208552726</v>
      </c>
      <c r="M5" s="25">
        <f t="shared" si="2"/>
        <v>76183</v>
      </c>
      <c r="N5" s="7">
        <f t="shared" si="7"/>
        <v>0.25312069108729962</v>
      </c>
      <c r="O5" s="26">
        <f t="shared" si="3"/>
        <v>-8773162.899965113</v>
      </c>
      <c r="P5" s="38">
        <f t="shared" si="8"/>
        <v>17334660.308587611</v>
      </c>
      <c r="Q5" s="33">
        <f t="shared" si="9"/>
        <v>0.25006723613274795</v>
      </c>
      <c r="R5" s="210"/>
      <c r="S5" s="14">
        <v>3</v>
      </c>
      <c r="T5" s="37">
        <f t="shared" si="10"/>
        <v>17334660.308587611</v>
      </c>
      <c r="U5" s="58">
        <f t="shared" si="11"/>
        <v>0</v>
      </c>
      <c r="V5" s="58">
        <f t="shared" si="12"/>
        <v>16734660.308587611</v>
      </c>
      <c r="W5" s="59">
        <f t="shared" si="4"/>
        <v>0.30371440340519879</v>
      </c>
      <c r="X5" s="67">
        <f t="shared" si="5"/>
        <v>-419123.16508914414</v>
      </c>
      <c r="Y5" s="38">
        <f t="shared" si="13"/>
        <v>16915537.143498465</v>
      </c>
      <c r="Z5" s="39">
        <f t="shared" si="14"/>
        <v>0.24402102757559901</v>
      </c>
    </row>
    <row r="6" spans="1:26" s="2" customFormat="1" x14ac:dyDescent="0.3">
      <c r="A6" s="210"/>
      <c r="B6" s="14">
        <v>4</v>
      </c>
      <c r="C6" s="72">
        <v>185875</v>
      </c>
      <c r="D6" s="73">
        <v>65448.943661971833</v>
      </c>
      <c r="E6" s="74">
        <v>27875</v>
      </c>
      <c r="F6" s="75">
        <v>2426</v>
      </c>
      <c r="G6" s="83">
        <v>5770</v>
      </c>
      <c r="H6" s="210"/>
      <c r="I6" s="14">
        <v>4</v>
      </c>
      <c r="J6" s="25">
        <f t="shared" si="0"/>
        <v>95749.943661971833</v>
      </c>
      <c r="K6" s="6">
        <f t="shared" si="6"/>
        <v>1.816005012612203E-2</v>
      </c>
      <c r="L6" s="26">
        <f t="shared" si="1"/>
        <v>1888281.9576340183</v>
      </c>
      <c r="M6" s="25">
        <f t="shared" si="2"/>
        <v>5770</v>
      </c>
      <c r="N6" s="7">
        <f t="shared" si="7"/>
        <v>1.9171027493977904E-2</v>
      </c>
      <c r="O6" s="26">
        <f t="shared" si="3"/>
        <v>-664467.79377024667</v>
      </c>
      <c r="P6" s="38">
        <f t="shared" si="8"/>
        <v>1223814.1638637716</v>
      </c>
      <c r="Q6" s="33">
        <f t="shared" si="9"/>
        <v>1.7654561442194096E-2</v>
      </c>
      <c r="R6" s="210"/>
      <c r="S6" s="14">
        <v>4</v>
      </c>
      <c r="T6" s="37">
        <f t="shared" si="10"/>
        <v>1223814.1638637716</v>
      </c>
      <c r="U6" s="58">
        <f t="shared" si="11"/>
        <v>0</v>
      </c>
      <c r="V6" s="58">
        <f t="shared" si="12"/>
        <v>623814.1638637716</v>
      </c>
      <c r="W6" s="59">
        <f t="shared" si="4"/>
        <v>1.1321493422628587E-2</v>
      </c>
      <c r="X6" s="67">
        <f t="shared" si="5"/>
        <v>-15623.559843150979</v>
      </c>
      <c r="Y6" s="38">
        <f t="shared" si="13"/>
        <v>1208190.6040206207</v>
      </c>
      <c r="Z6" s="39">
        <f t="shared" si="14"/>
        <v>1.7429178287348204E-2</v>
      </c>
    </row>
    <row r="7" spans="1:26" s="2" customFormat="1" x14ac:dyDescent="0.3">
      <c r="A7" s="210"/>
      <c r="B7" s="14">
        <v>5</v>
      </c>
      <c r="C7" s="72">
        <v>138438</v>
      </c>
      <c r="D7" s="73">
        <v>48745.774647887323</v>
      </c>
      <c r="E7" s="74">
        <v>19980</v>
      </c>
      <c r="F7" s="75">
        <v>1777</v>
      </c>
      <c r="G7" s="83">
        <v>4074</v>
      </c>
      <c r="H7" s="210"/>
      <c r="I7" s="14">
        <v>5</v>
      </c>
      <c r="J7" s="25">
        <f t="shared" si="0"/>
        <v>70502.774647887331</v>
      </c>
      <c r="K7" s="6">
        <f t="shared" si="6"/>
        <v>1.337164151402857E-2</v>
      </c>
      <c r="L7" s="26">
        <f t="shared" si="1"/>
        <v>1390383.2445137661</v>
      </c>
      <c r="M7" s="25">
        <f t="shared" si="2"/>
        <v>4074</v>
      </c>
      <c r="N7" s="7">
        <f t="shared" si="7"/>
        <v>1.3536007974084226E-2</v>
      </c>
      <c r="O7" s="26">
        <f t="shared" si="3"/>
        <v>-469158.02284575131</v>
      </c>
      <c r="P7" s="38">
        <f t="shared" si="8"/>
        <v>921225.22166801477</v>
      </c>
      <c r="Q7" s="33">
        <f t="shared" si="9"/>
        <v>1.3289458284000744E-2</v>
      </c>
      <c r="R7" s="210"/>
      <c r="S7" s="14">
        <v>5</v>
      </c>
      <c r="T7" s="37">
        <f t="shared" si="10"/>
        <v>921225.22166801477</v>
      </c>
      <c r="U7" s="58">
        <f t="shared" si="11"/>
        <v>0</v>
      </c>
      <c r="V7" s="58">
        <f t="shared" si="12"/>
        <v>321225.22166801477</v>
      </c>
      <c r="W7" s="59">
        <f t="shared" si="4"/>
        <v>5.8298599887049562E-3</v>
      </c>
      <c r="X7" s="67">
        <f t="shared" si="5"/>
        <v>-8045.1547345046274</v>
      </c>
      <c r="Y7" s="38">
        <f t="shared" si="13"/>
        <v>913180.06693351013</v>
      </c>
      <c r="Z7" s="39">
        <f t="shared" si="14"/>
        <v>1.3173400076172972E-2</v>
      </c>
    </row>
    <row r="8" spans="1:26" s="2" customFormat="1" x14ac:dyDescent="0.3">
      <c r="A8" s="210"/>
      <c r="B8" s="14">
        <v>6</v>
      </c>
      <c r="C8" s="72">
        <v>2198617</v>
      </c>
      <c r="D8" s="73">
        <v>774160.91549295781</v>
      </c>
      <c r="E8" s="74">
        <v>404982</v>
      </c>
      <c r="F8" s="75">
        <v>72179</v>
      </c>
      <c r="G8" s="83">
        <v>78106</v>
      </c>
      <c r="H8" s="210"/>
      <c r="I8" s="14">
        <v>6</v>
      </c>
      <c r="J8" s="25">
        <f t="shared" si="0"/>
        <v>1251321.9154929579</v>
      </c>
      <c r="K8" s="6">
        <f t="shared" si="6"/>
        <v>0.23732722798762615</v>
      </c>
      <c r="L8" s="26">
        <f t="shared" si="1"/>
        <v>24677284.454171684</v>
      </c>
      <c r="M8" s="25">
        <f t="shared" si="2"/>
        <v>78106</v>
      </c>
      <c r="N8" s="7">
        <f t="shared" si="7"/>
        <v>0.25950992607359413</v>
      </c>
      <c r="O8" s="26">
        <f t="shared" si="3"/>
        <v>-8994613.7782008462</v>
      </c>
      <c r="P8" s="38">
        <f t="shared" si="8"/>
        <v>15682670.675970837</v>
      </c>
      <c r="Q8" s="33">
        <f t="shared" si="9"/>
        <v>0.22623587894464223</v>
      </c>
      <c r="R8" s="210"/>
      <c r="S8" s="14">
        <v>6</v>
      </c>
      <c r="T8" s="37">
        <f t="shared" si="10"/>
        <v>15682670.675970837</v>
      </c>
      <c r="U8" s="58">
        <f t="shared" si="11"/>
        <v>0</v>
      </c>
      <c r="V8" s="58">
        <f t="shared" si="12"/>
        <v>15082670.675970837</v>
      </c>
      <c r="W8" s="59">
        <f t="shared" si="4"/>
        <v>0.27373273443494156</v>
      </c>
      <c r="X8" s="67">
        <f t="shared" si="5"/>
        <v>-377748.72959125199</v>
      </c>
      <c r="Y8" s="38">
        <f t="shared" si="13"/>
        <v>15304921.946379585</v>
      </c>
      <c r="Z8" s="39">
        <f t="shared" si="14"/>
        <v>0.22078653185159625</v>
      </c>
    </row>
    <row r="9" spans="1:26" s="2" customFormat="1" x14ac:dyDescent="0.3">
      <c r="A9" s="210"/>
      <c r="B9" s="14">
        <v>7</v>
      </c>
      <c r="C9" s="72">
        <v>543279</v>
      </c>
      <c r="D9" s="73">
        <v>191295.42253521128</v>
      </c>
      <c r="E9" s="74">
        <v>140186</v>
      </c>
      <c r="F9" s="75">
        <v>19310</v>
      </c>
      <c r="G9" s="83">
        <v>20400</v>
      </c>
      <c r="H9" s="210"/>
      <c r="I9" s="14">
        <v>7</v>
      </c>
      <c r="J9" s="25">
        <f t="shared" si="0"/>
        <v>350791.42253521131</v>
      </c>
      <c r="K9" s="6">
        <f t="shared" si="6"/>
        <v>6.6531525486245927E-2</v>
      </c>
      <c r="L9" s="26">
        <f t="shared" si="1"/>
        <v>6917947.8204652751</v>
      </c>
      <c r="M9" s="25">
        <f t="shared" si="2"/>
        <v>20400</v>
      </c>
      <c r="N9" s="7">
        <f t="shared" si="7"/>
        <v>6.777971592324944E-2</v>
      </c>
      <c r="O9" s="26">
        <f t="shared" si="3"/>
        <v>-2349244.8861201098</v>
      </c>
      <c r="P9" s="38">
        <f t="shared" si="8"/>
        <v>4568702.9343451653</v>
      </c>
      <c r="Q9" s="33">
        <f t="shared" si="9"/>
        <v>6.5907430267744177E-2</v>
      </c>
      <c r="R9" s="210"/>
      <c r="S9" s="14">
        <v>7</v>
      </c>
      <c r="T9" s="37">
        <f t="shared" si="10"/>
        <v>4568702.9343451653</v>
      </c>
      <c r="U9" s="58">
        <f t="shared" si="11"/>
        <v>0</v>
      </c>
      <c r="V9" s="58">
        <f t="shared" si="12"/>
        <v>3968702.9343451653</v>
      </c>
      <c r="W9" s="59">
        <f t="shared" si="4"/>
        <v>7.2027290770793923E-2</v>
      </c>
      <c r="X9" s="67">
        <f t="shared" si="5"/>
        <v>-99397.018192698946</v>
      </c>
      <c r="Y9" s="38">
        <f t="shared" si="13"/>
        <v>4469305.9161524661</v>
      </c>
      <c r="Z9" s="39">
        <f t="shared" si="14"/>
        <v>6.4473543639635811E-2</v>
      </c>
    </row>
    <row r="10" spans="1:26" s="2" customFormat="1" x14ac:dyDescent="0.3">
      <c r="A10" s="210"/>
      <c r="B10" s="14">
        <v>8</v>
      </c>
      <c r="C10" s="72">
        <v>337568</v>
      </c>
      <c r="D10" s="73">
        <v>118861.97183098592</v>
      </c>
      <c r="E10" s="74">
        <v>67250</v>
      </c>
      <c r="F10" s="75">
        <v>6148</v>
      </c>
      <c r="G10" s="83">
        <v>14420</v>
      </c>
      <c r="H10" s="210"/>
      <c r="I10" s="14">
        <v>8</v>
      </c>
      <c r="J10" s="25">
        <f t="shared" si="0"/>
        <v>192259.97183098592</v>
      </c>
      <c r="K10" s="6">
        <f t="shared" si="6"/>
        <v>3.6464258799184884E-2</v>
      </c>
      <c r="L10" s="26">
        <f t="shared" si="1"/>
        <v>3791553.520546468</v>
      </c>
      <c r="M10" s="25">
        <f t="shared" si="2"/>
        <v>14420</v>
      </c>
      <c r="N10" s="7">
        <f t="shared" si="7"/>
        <v>4.7910956059473375E-2</v>
      </c>
      <c r="O10" s="26">
        <f t="shared" si="3"/>
        <v>-1660593.6891103911</v>
      </c>
      <c r="P10" s="38">
        <f t="shared" si="8"/>
        <v>2130959.8314360771</v>
      </c>
      <c r="Q10" s="33">
        <f t="shared" si="9"/>
        <v>3.0740910169040649E-2</v>
      </c>
      <c r="R10" s="210"/>
      <c r="S10" s="14">
        <v>8</v>
      </c>
      <c r="T10" s="37">
        <f t="shared" si="10"/>
        <v>2130959.8314360771</v>
      </c>
      <c r="U10" s="58">
        <f t="shared" si="11"/>
        <v>0</v>
      </c>
      <c r="V10" s="58">
        <f t="shared" si="12"/>
        <v>1530959.8314360771</v>
      </c>
      <c r="W10" s="59">
        <f t="shared" si="4"/>
        <v>2.7785120418806711E-2</v>
      </c>
      <c r="X10" s="67">
        <f t="shared" si="5"/>
        <v>-38343.218108021865</v>
      </c>
      <c r="Y10" s="38">
        <f t="shared" si="13"/>
        <v>2092616.6133280552</v>
      </c>
      <c r="Z10" s="39">
        <f t="shared" si="14"/>
        <v>3.018777659699378E-2</v>
      </c>
    </row>
    <row r="11" spans="1:26" s="2" customFormat="1" x14ac:dyDescent="0.3">
      <c r="A11" s="210"/>
      <c r="B11" s="14">
        <v>9</v>
      </c>
      <c r="C11" s="72">
        <v>798853</v>
      </c>
      <c r="D11" s="73">
        <v>281286.26760563382</v>
      </c>
      <c r="E11" s="74">
        <v>131124</v>
      </c>
      <c r="F11" s="75">
        <v>18421</v>
      </c>
      <c r="G11" s="83">
        <v>24284</v>
      </c>
      <c r="H11" s="210"/>
      <c r="I11" s="14">
        <v>9</v>
      </c>
      <c r="J11" s="25">
        <f t="shared" si="0"/>
        <v>430831.26760563382</v>
      </c>
      <c r="K11" s="6">
        <f t="shared" si="6"/>
        <v>8.171197931186211E-2</v>
      </c>
      <c r="L11" s="26">
        <f t="shared" si="1"/>
        <v>8496411.3637114838</v>
      </c>
      <c r="M11" s="25">
        <f t="shared" si="2"/>
        <v>24284</v>
      </c>
      <c r="N11" s="7">
        <f t="shared" si="7"/>
        <v>8.0684442229421047E-2</v>
      </c>
      <c r="O11" s="26">
        <f t="shared" si="3"/>
        <v>-2796522.6869872911</v>
      </c>
      <c r="P11" s="38">
        <f t="shared" si="8"/>
        <v>5699888.6767241927</v>
      </c>
      <c r="Q11" s="33">
        <f t="shared" si="9"/>
        <v>8.2225747853082648E-2</v>
      </c>
      <c r="R11" s="210"/>
      <c r="S11" s="14">
        <v>9</v>
      </c>
      <c r="T11" s="37">
        <f t="shared" si="10"/>
        <v>5699888.6767241927</v>
      </c>
      <c r="U11" s="58">
        <f t="shared" si="11"/>
        <v>0</v>
      </c>
      <c r="V11" s="58">
        <f t="shared" si="12"/>
        <v>5099888.6767241927</v>
      </c>
      <c r="W11" s="59">
        <f t="shared" si="4"/>
        <v>9.2556981637050229E-2</v>
      </c>
      <c r="X11" s="67">
        <f t="shared" si="5"/>
        <v>-127727.80829581906</v>
      </c>
      <c r="Y11" s="38">
        <f t="shared" si="13"/>
        <v>5572160.8684283737</v>
      </c>
      <c r="Z11" s="39">
        <f t="shared" si="14"/>
        <v>8.0383165452895353E-2</v>
      </c>
    </row>
    <row r="12" spans="1:26" s="2" customFormat="1" x14ac:dyDescent="0.3">
      <c r="A12" s="210"/>
      <c r="B12" s="14">
        <v>10</v>
      </c>
      <c r="C12" s="72">
        <v>199067</v>
      </c>
      <c r="D12" s="73">
        <v>70094.014084507042</v>
      </c>
      <c r="E12" s="74">
        <v>33332</v>
      </c>
      <c r="F12" s="75">
        <v>5664</v>
      </c>
      <c r="G12" s="83">
        <v>6278</v>
      </c>
      <c r="H12" s="210"/>
      <c r="I12" s="14">
        <v>10</v>
      </c>
      <c r="J12" s="25">
        <f t="shared" si="0"/>
        <v>109090.01408450704</v>
      </c>
      <c r="K12" s="6">
        <f t="shared" si="6"/>
        <v>2.0690144017503107E-2</v>
      </c>
      <c r="L12" s="26">
        <f t="shared" si="1"/>
        <v>2151361.1128695412</v>
      </c>
      <c r="M12" s="25">
        <f t="shared" si="2"/>
        <v>6278</v>
      </c>
      <c r="N12" s="7">
        <f t="shared" si="7"/>
        <v>2.0858875321870588E-2</v>
      </c>
      <c r="O12" s="26">
        <f t="shared" si="3"/>
        <v>-722968.59779715922</v>
      </c>
      <c r="P12" s="38">
        <f t="shared" si="8"/>
        <v>1428392.5150723821</v>
      </c>
      <c r="Q12" s="33">
        <f t="shared" si="9"/>
        <v>2.0605778365319374E-2</v>
      </c>
      <c r="R12" s="210"/>
      <c r="S12" s="14">
        <v>10</v>
      </c>
      <c r="T12" s="37">
        <f t="shared" si="10"/>
        <v>1428392.5150723821</v>
      </c>
      <c r="U12" s="58">
        <f t="shared" si="11"/>
        <v>0</v>
      </c>
      <c r="V12" s="58">
        <f t="shared" si="12"/>
        <v>828392.51507238206</v>
      </c>
      <c r="W12" s="59">
        <f t="shared" si="4"/>
        <v>1.5034349897824428E-2</v>
      </c>
      <c r="X12" s="67">
        <f t="shared" si="5"/>
        <v>-20747.268629953836</v>
      </c>
      <c r="Y12" s="38">
        <f t="shared" si="13"/>
        <v>1407645.2464424283</v>
      </c>
      <c r="Z12" s="39">
        <f t="shared" si="14"/>
        <v>2.0306481348173561E-2</v>
      </c>
    </row>
    <row r="13" spans="1:26" s="2" customFormat="1" x14ac:dyDescent="0.3">
      <c r="A13" s="210"/>
      <c r="B13" s="14">
        <v>11</v>
      </c>
      <c r="C13" s="72">
        <v>880047</v>
      </c>
      <c r="D13" s="73">
        <v>309875.70422535215</v>
      </c>
      <c r="E13" s="74">
        <v>67059</v>
      </c>
      <c r="F13" s="75">
        <v>25080</v>
      </c>
      <c r="G13" s="83">
        <v>12574</v>
      </c>
      <c r="H13" s="210"/>
      <c r="I13" s="14">
        <v>11</v>
      </c>
      <c r="J13" s="25">
        <f t="shared" si="0"/>
        <v>402014.70422535215</v>
      </c>
      <c r="K13" s="6">
        <f t="shared" si="6"/>
        <v>7.6246595047032226E-2</v>
      </c>
      <c r="L13" s="26">
        <f t="shared" si="1"/>
        <v>7928120.7242506258</v>
      </c>
      <c r="M13" s="25">
        <f t="shared" si="2"/>
        <v>12574</v>
      </c>
      <c r="N13" s="7">
        <f t="shared" si="7"/>
        <v>4.1777556275438159E-2</v>
      </c>
      <c r="O13" s="26">
        <f t="shared" si="3"/>
        <v>-1448010.0587291303</v>
      </c>
      <c r="P13" s="38">
        <f t="shared" si="8"/>
        <v>6480110.665521495</v>
      </c>
      <c r="Q13" s="33">
        <f t="shared" si="9"/>
        <v>9.3481114432829276E-2</v>
      </c>
      <c r="R13" s="210"/>
      <c r="S13" s="14">
        <v>11</v>
      </c>
      <c r="T13" s="37">
        <f t="shared" si="10"/>
        <v>6480110.665521495</v>
      </c>
      <c r="U13" s="58">
        <f t="shared" si="11"/>
        <v>0</v>
      </c>
      <c r="V13" s="58">
        <f t="shared" si="12"/>
        <v>5880110.665521495</v>
      </c>
      <c r="W13" s="59">
        <f t="shared" si="4"/>
        <v>0.10671709313507621</v>
      </c>
      <c r="X13" s="67">
        <f t="shared" si="5"/>
        <v>-147268.63573938917</v>
      </c>
      <c r="Y13" s="38">
        <f t="shared" si="13"/>
        <v>6332842.0297821062</v>
      </c>
      <c r="Z13" s="39">
        <f t="shared" si="14"/>
        <v>9.1356638956944389E-2</v>
      </c>
    </row>
    <row r="14" spans="1:26" s="2" customFormat="1" x14ac:dyDescent="0.3">
      <c r="A14" s="210"/>
      <c r="B14" s="14">
        <v>12</v>
      </c>
      <c r="C14" s="72">
        <v>126306</v>
      </c>
      <c r="D14" s="73">
        <v>44473.943661971833</v>
      </c>
      <c r="E14" s="74">
        <v>20885</v>
      </c>
      <c r="F14" s="75">
        <v>4295</v>
      </c>
      <c r="G14" s="83">
        <v>4254</v>
      </c>
      <c r="H14" s="210"/>
      <c r="I14" s="14">
        <v>12</v>
      </c>
      <c r="J14" s="25">
        <f t="shared" si="0"/>
        <v>69653.943661971833</v>
      </c>
      <c r="K14" s="6">
        <f t="shared" si="6"/>
        <v>1.3210651202564259E-2</v>
      </c>
      <c r="L14" s="26">
        <f t="shared" si="1"/>
        <v>1373643.4724106782</v>
      </c>
      <c r="M14" s="25">
        <f t="shared" si="2"/>
        <v>4254</v>
      </c>
      <c r="N14" s="7">
        <f t="shared" si="7"/>
        <v>1.4134064291054075E-2</v>
      </c>
      <c r="O14" s="26">
        <f t="shared" si="3"/>
        <v>-489886.65419386997</v>
      </c>
      <c r="P14" s="38">
        <f t="shared" si="8"/>
        <v>883756.81821680814</v>
      </c>
      <c r="Q14" s="33">
        <f t="shared" si="9"/>
        <v>1.2748944658319354E-2</v>
      </c>
      <c r="R14" s="210"/>
      <c r="S14" s="14">
        <v>12</v>
      </c>
      <c r="T14" s="37">
        <f t="shared" si="10"/>
        <v>883756.81821680814</v>
      </c>
      <c r="U14" s="58">
        <f t="shared" si="11"/>
        <v>0</v>
      </c>
      <c r="V14" s="58">
        <f t="shared" si="12"/>
        <v>283756.81821680814</v>
      </c>
      <c r="W14" s="59">
        <f t="shared" si="4"/>
        <v>5.149852531673463E-3</v>
      </c>
      <c r="X14" s="67">
        <f t="shared" si="5"/>
        <v>-7106.7505150148481</v>
      </c>
      <c r="Y14" s="38">
        <f t="shared" si="13"/>
        <v>876650.06770179328</v>
      </c>
      <c r="Z14" s="39">
        <f t="shared" si="14"/>
        <v>1.2646423730447791E-2</v>
      </c>
    </row>
    <row r="15" spans="1:26" s="2" customFormat="1" x14ac:dyDescent="0.3">
      <c r="A15" s="210"/>
      <c r="B15" s="14">
        <v>13</v>
      </c>
      <c r="C15" s="72">
        <v>400785</v>
      </c>
      <c r="D15" s="73">
        <v>141121.47887323945</v>
      </c>
      <c r="E15" s="74">
        <v>45922</v>
      </c>
      <c r="F15" s="75">
        <v>7743</v>
      </c>
      <c r="G15" s="83">
        <v>11293</v>
      </c>
      <c r="H15" s="210"/>
      <c r="I15" s="14">
        <v>13</v>
      </c>
      <c r="J15" s="25">
        <f t="shared" si="0"/>
        <v>194786.47887323945</v>
      </c>
      <c r="K15" s="6">
        <f t="shared" si="6"/>
        <v>3.6943439180672118E-2</v>
      </c>
      <c r="L15" s="26">
        <f t="shared" si="1"/>
        <v>3841378.695175969</v>
      </c>
      <c r="M15" s="25">
        <f t="shared" si="2"/>
        <v>11293</v>
      </c>
      <c r="N15" s="7">
        <f t="shared" si="7"/>
        <v>3.7521388819669405E-2</v>
      </c>
      <c r="O15" s="26">
        <f t="shared" si="3"/>
        <v>-1300491.2989683528</v>
      </c>
      <c r="P15" s="38">
        <f t="shared" si="8"/>
        <v>2540887.3962076162</v>
      </c>
      <c r="Q15" s="33">
        <f t="shared" si="9"/>
        <v>3.6654464361173478E-2</v>
      </c>
      <c r="R15" s="210"/>
      <c r="S15" s="14">
        <v>13</v>
      </c>
      <c r="T15" s="37">
        <f t="shared" si="10"/>
        <v>2540887.3962076162</v>
      </c>
      <c r="U15" s="58">
        <f t="shared" si="11"/>
        <v>0</v>
      </c>
      <c r="V15" s="58">
        <f t="shared" si="12"/>
        <v>1940887.3962076162</v>
      </c>
      <c r="W15" s="59">
        <f t="shared" si="4"/>
        <v>3.5224823614338249E-2</v>
      </c>
      <c r="X15" s="67">
        <f t="shared" si="5"/>
        <v>-48609.942095013466</v>
      </c>
      <c r="Y15" s="38">
        <f t="shared" si="13"/>
        <v>2492277.4541126029</v>
      </c>
      <c r="Z15" s="39">
        <f t="shared" si="14"/>
        <v>3.5953224553073461E-2</v>
      </c>
    </row>
    <row r="16" spans="1:26" s="2" customFormat="1" ht="15" customHeight="1" thickBot="1" x14ac:dyDescent="0.35">
      <c r="A16" s="211"/>
      <c r="B16" s="15" t="s">
        <v>2</v>
      </c>
      <c r="C16" s="76">
        <f>SUM(C3:C15)</f>
        <v>8374659</v>
      </c>
      <c r="D16" s="76">
        <f>SUM(D3:D15)</f>
        <v>2948823.5915492964</v>
      </c>
      <c r="E16" s="77">
        <f t="shared" ref="E16:G16" si="15">SUM(E3:E15)</f>
        <v>1463964</v>
      </c>
      <c r="F16" s="78">
        <f t="shared" si="15"/>
        <v>245579</v>
      </c>
      <c r="G16" s="84">
        <f t="shared" si="15"/>
        <v>270147</v>
      </c>
      <c r="H16" s="211"/>
      <c r="I16" s="15" t="s">
        <v>2</v>
      </c>
      <c r="J16" s="27">
        <f>SUM(J3:J15)</f>
        <v>4658366.5915492969</v>
      </c>
      <c r="K16" s="19">
        <f t="shared" ref="K16:O16" si="16">SUM(K3:K15)</f>
        <v>0.883511442127206</v>
      </c>
      <c r="L16" s="28">
        <f t="shared" si="16"/>
        <v>91867517.101852536</v>
      </c>
      <c r="M16" s="27">
        <f t="shared" si="16"/>
        <v>270147</v>
      </c>
      <c r="N16" s="19">
        <f t="shared" si="16"/>
        <v>0.89757288811363067</v>
      </c>
      <c r="O16" s="28">
        <f t="shared" si="16"/>
        <v>-31109875.404445551</v>
      </c>
      <c r="P16" s="42">
        <f>SUM(P3:P15)</f>
        <v>60757641.697406977</v>
      </c>
      <c r="Q16" s="20">
        <f>P16/$P$31</f>
        <v>0.8764807191339935</v>
      </c>
      <c r="R16" s="211"/>
      <c r="S16" s="15" t="s">
        <v>2</v>
      </c>
      <c r="T16" s="40">
        <f t="shared" ref="T16:Y16" si="17">SUM(T3:T15)</f>
        <v>60757641.697406977</v>
      </c>
      <c r="U16" s="62">
        <f t="shared" si="17"/>
        <v>22118.537457543425</v>
      </c>
      <c r="V16" s="62">
        <f t="shared" si="17"/>
        <v>52979760.234864525</v>
      </c>
      <c r="W16" s="63">
        <f t="shared" si="17"/>
        <v>0.96152034015445131</v>
      </c>
      <c r="X16" s="41">
        <f t="shared" si="17"/>
        <v>-1304770.9473505579</v>
      </c>
      <c r="Y16" s="42">
        <f t="shared" si="17"/>
        <v>59452870.750056431</v>
      </c>
      <c r="Z16" s="43">
        <f>Y16/$Y$31</f>
        <v>0.8576582871519477</v>
      </c>
    </row>
    <row r="17" spans="1:26" s="2" customFormat="1" ht="12.75" customHeight="1" x14ac:dyDescent="0.3">
      <c r="A17" s="209" t="s">
        <v>4</v>
      </c>
      <c r="B17" s="13">
        <v>1</v>
      </c>
      <c r="C17" s="68">
        <v>123473</v>
      </c>
      <c r="D17" s="69">
        <v>43476.408450704228</v>
      </c>
      <c r="E17" s="70">
        <v>9479</v>
      </c>
      <c r="F17" s="71">
        <v>2425</v>
      </c>
      <c r="G17" s="82">
        <v>3290</v>
      </c>
      <c r="H17" s="209" t="s">
        <v>4</v>
      </c>
      <c r="I17" s="13">
        <v>1</v>
      </c>
      <c r="J17" s="23">
        <f t="shared" ref="J17:J29" si="18">SUM(D17:F17)</f>
        <v>55380.408450704228</v>
      </c>
      <c r="K17" s="8">
        <f>J17/$J$31</f>
        <v>1.0503515250310588E-2</v>
      </c>
      <c r="L17" s="24">
        <f t="shared" ref="L17:L29" si="19">K17*($Q$32*$Q$33)</f>
        <v>1092155.4842167492</v>
      </c>
      <c r="M17" s="23">
        <f t="shared" ref="M17:M29" si="20">SUM(G17:G17)</f>
        <v>3290</v>
      </c>
      <c r="N17" s="9">
        <f>M17/$M$31</f>
        <v>1.093114046017111E-2</v>
      </c>
      <c r="O17" s="24">
        <f t="shared" ref="O17:O29" si="21">N17*($Q$32*$Q$34)</f>
        <v>-378873.31741839024</v>
      </c>
      <c r="P17" s="35">
        <f>L17+O17</f>
        <v>713282.16679835902</v>
      </c>
      <c r="Q17" s="32">
        <f>P17/$P$31</f>
        <v>1.028970264538033E-2</v>
      </c>
      <c r="R17" s="209" t="s">
        <v>4</v>
      </c>
      <c r="S17" s="13">
        <v>1</v>
      </c>
      <c r="T17" s="34">
        <f>P17</f>
        <v>713282.16679835902</v>
      </c>
      <c r="U17" s="60">
        <f>IF(T17&lt;$Z$32, $Z$32-T17, 0)</f>
        <v>0</v>
      </c>
      <c r="V17" s="60">
        <f>IF(T17&lt;$Z$32, 0, T17-$Z$32)</f>
        <v>113282.16679835902</v>
      </c>
      <c r="W17" s="61">
        <f t="shared" ref="W17:W29" si="22">IF(T17&lt;$Z$32, 0, (T17-$Z$32)/$V$31)</f>
        <v>2.0559380992009879E-3</v>
      </c>
      <c r="X17" s="66">
        <f t="shared" ref="X17:X29" si="23">IF(T17&lt;$Z$32, U17, -W17*$U$31)</f>
        <v>-2837.1762211581927</v>
      </c>
      <c r="Y17" s="35">
        <f>T17+X17</f>
        <v>710444.99057720078</v>
      </c>
      <c r="Z17" s="36">
        <f>Y17/$Y$31</f>
        <v>1.0248773962417034E-2</v>
      </c>
    </row>
    <row r="18" spans="1:26" s="2" customFormat="1" x14ac:dyDescent="0.3">
      <c r="A18" s="210"/>
      <c r="B18" s="14">
        <v>2</v>
      </c>
      <c r="C18" s="72">
        <v>98556</v>
      </c>
      <c r="D18" s="73">
        <v>34702.816901408456</v>
      </c>
      <c r="E18" s="74">
        <v>7275</v>
      </c>
      <c r="F18" s="75">
        <v>1061</v>
      </c>
      <c r="G18" s="83">
        <v>2990</v>
      </c>
      <c r="H18" s="210"/>
      <c r="I18" s="14">
        <v>2</v>
      </c>
      <c r="J18" s="25">
        <f t="shared" si="18"/>
        <v>43038.816901408456</v>
      </c>
      <c r="K18" s="6">
        <f t="shared" ref="K18:K29" si="24">J18/$J$31</f>
        <v>8.1627940697053553E-3</v>
      </c>
      <c r="L18" s="26">
        <f t="shared" si="19"/>
        <v>848767.30287958065</v>
      </c>
      <c r="M18" s="25">
        <f t="shared" si="20"/>
        <v>2990</v>
      </c>
      <c r="N18" s="7">
        <f t="shared" ref="N18:N29" si="25">M18/$M$31</f>
        <v>9.9343799318880304E-3</v>
      </c>
      <c r="O18" s="26">
        <f t="shared" si="21"/>
        <v>-344325.5985048592</v>
      </c>
      <c r="P18" s="38">
        <f t="shared" ref="P18:P29" si="26">L18+O18</f>
        <v>504441.70437472145</v>
      </c>
      <c r="Q18" s="33">
        <f t="shared" ref="Q18:Q29" si="27">P18/$P$31</f>
        <v>7.2770011386140195E-3</v>
      </c>
      <c r="R18" s="210"/>
      <c r="S18" s="14">
        <v>2</v>
      </c>
      <c r="T18" s="37">
        <f t="shared" ref="T18:T29" si="28">P18</f>
        <v>504441.70437472145</v>
      </c>
      <c r="U18" s="58">
        <f t="shared" ref="U18:U29" si="29">IF(T18&lt;$Z$32, $Z$32-T18, 0)</f>
        <v>95558.295625278552</v>
      </c>
      <c r="V18" s="58">
        <f t="shared" ref="V18:V29" si="30">IF(T18&lt;$Z$32, 0, T18-$Z$32)</f>
        <v>0</v>
      </c>
      <c r="W18" s="59">
        <f t="shared" si="22"/>
        <v>0</v>
      </c>
      <c r="X18" s="67">
        <f t="shared" si="23"/>
        <v>95558.295625278552</v>
      </c>
      <c r="Y18" s="38">
        <f t="shared" ref="Y18:Y29" si="31">T18+X18</f>
        <v>600000</v>
      </c>
      <c r="Z18" s="39">
        <f t="shared" ref="Z18:Z29" si="32">Y18/$Y$31</f>
        <v>8.655510924856058E-3</v>
      </c>
    </row>
    <row r="19" spans="1:26" s="2" customFormat="1" x14ac:dyDescent="0.3">
      <c r="A19" s="210"/>
      <c r="B19" s="14">
        <v>3</v>
      </c>
      <c r="C19" s="72">
        <v>92052</v>
      </c>
      <c r="D19" s="73">
        <v>32412.67605633803</v>
      </c>
      <c r="E19" s="74">
        <v>11329</v>
      </c>
      <c r="F19" s="75">
        <v>1632</v>
      </c>
      <c r="G19" s="83">
        <v>2475</v>
      </c>
      <c r="H19" s="210"/>
      <c r="I19" s="14">
        <v>3</v>
      </c>
      <c r="J19" s="25">
        <f t="shared" si="18"/>
        <v>45373.67605633803</v>
      </c>
      <c r="K19" s="6">
        <f t="shared" si="24"/>
        <v>8.60562628108133E-3</v>
      </c>
      <c r="L19" s="26">
        <f t="shared" si="19"/>
        <v>894812.99488995783</v>
      </c>
      <c r="M19" s="25">
        <f t="shared" si="20"/>
        <v>2475</v>
      </c>
      <c r="N19" s="7">
        <f t="shared" si="25"/>
        <v>8.2232743583354091E-3</v>
      </c>
      <c r="O19" s="26">
        <f t="shared" si="21"/>
        <v>-285018.68103663094</v>
      </c>
      <c r="P19" s="38">
        <f t="shared" si="26"/>
        <v>609794.31385332695</v>
      </c>
      <c r="Q19" s="33">
        <f t="shared" si="27"/>
        <v>8.7968022424542922E-3</v>
      </c>
      <c r="R19" s="210"/>
      <c r="S19" s="14">
        <v>3</v>
      </c>
      <c r="T19" s="37">
        <f t="shared" si="28"/>
        <v>609794.31385332695</v>
      </c>
      <c r="U19" s="58">
        <f t="shared" si="29"/>
        <v>0</v>
      </c>
      <c r="V19" s="58">
        <f t="shared" si="30"/>
        <v>9794.3138533269521</v>
      </c>
      <c r="W19" s="59">
        <f t="shared" si="22"/>
        <v>1.7775527760189883E-4</v>
      </c>
      <c r="X19" s="67">
        <f t="shared" si="23"/>
        <v>-245.3006960635046</v>
      </c>
      <c r="Y19" s="38">
        <f t="shared" si="31"/>
        <v>609549.0131572634</v>
      </c>
      <c r="Z19" s="39">
        <f t="shared" si="32"/>
        <v>8.7932635710298718E-3</v>
      </c>
    </row>
    <row r="20" spans="1:26" s="2" customFormat="1" x14ac:dyDescent="0.3">
      <c r="A20" s="210"/>
      <c r="B20" s="14">
        <v>4</v>
      </c>
      <c r="C20" s="72">
        <v>253421</v>
      </c>
      <c r="D20" s="73">
        <v>89232.746478873247</v>
      </c>
      <c r="E20" s="74">
        <v>23264</v>
      </c>
      <c r="F20" s="75">
        <v>4051</v>
      </c>
      <c r="G20" s="83">
        <v>5915</v>
      </c>
      <c r="H20" s="210"/>
      <c r="I20" s="14">
        <v>4</v>
      </c>
      <c r="J20" s="25">
        <f t="shared" si="18"/>
        <v>116547.74647887325</v>
      </c>
      <c r="K20" s="6">
        <f t="shared" si="24"/>
        <v>2.2104586563673326E-2</v>
      </c>
      <c r="L20" s="26">
        <f t="shared" si="19"/>
        <v>2298434.8445769926</v>
      </c>
      <c r="M20" s="25">
        <f t="shared" si="20"/>
        <v>5915</v>
      </c>
      <c r="N20" s="7">
        <f t="shared" si="25"/>
        <v>1.9652795082648059E-2</v>
      </c>
      <c r="O20" s="26">
        <f t="shared" si="21"/>
        <v>-681165.85791178665</v>
      </c>
      <c r="P20" s="38">
        <f t="shared" si="26"/>
        <v>1617268.986665206</v>
      </c>
      <c r="Q20" s="33">
        <f t="shared" si="27"/>
        <v>2.3330482304185964E-2</v>
      </c>
      <c r="R20" s="210"/>
      <c r="S20" s="14">
        <v>4</v>
      </c>
      <c r="T20" s="37">
        <f t="shared" si="28"/>
        <v>1617268.986665206</v>
      </c>
      <c r="U20" s="58">
        <f t="shared" si="29"/>
        <v>0</v>
      </c>
      <c r="V20" s="58">
        <f t="shared" si="30"/>
        <v>1017268.986665206</v>
      </c>
      <c r="W20" s="59">
        <f t="shared" si="22"/>
        <v>1.8462235724563091E-2</v>
      </c>
      <c r="X20" s="67">
        <f t="shared" si="23"/>
        <v>-25477.720466148621</v>
      </c>
      <c r="Y20" s="38">
        <f t="shared" si="31"/>
        <v>1591791.2661990575</v>
      </c>
      <c r="Z20" s="39">
        <f t="shared" si="32"/>
        <v>2.2962944491127332E-2</v>
      </c>
    </row>
    <row r="21" spans="1:26" s="2" customFormat="1" x14ac:dyDescent="0.3">
      <c r="A21" s="210"/>
      <c r="B21" s="14">
        <v>5</v>
      </c>
      <c r="C21" s="72">
        <v>155723</v>
      </c>
      <c r="D21" s="73">
        <v>54832.042253521133</v>
      </c>
      <c r="E21" s="74">
        <v>17262</v>
      </c>
      <c r="F21" s="75">
        <v>2197</v>
      </c>
      <c r="G21" s="83">
        <v>3442</v>
      </c>
      <c r="H21" s="210"/>
      <c r="I21" s="14">
        <v>5</v>
      </c>
      <c r="J21" s="25">
        <f t="shared" si="18"/>
        <v>74291.042253521126</v>
      </c>
      <c r="K21" s="6">
        <f t="shared" si="24"/>
        <v>1.4090128930087455E-2</v>
      </c>
      <c r="L21" s="26">
        <f t="shared" si="19"/>
        <v>1465091.5638801069</v>
      </c>
      <c r="M21" s="25">
        <f t="shared" si="20"/>
        <v>3442</v>
      </c>
      <c r="N21" s="7">
        <f t="shared" si="25"/>
        <v>1.1436165794501204E-2</v>
      </c>
      <c r="O21" s="26">
        <f t="shared" si="21"/>
        <v>-396377.49500124593</v>
      </c>
      <c r="P21" s="38">
        <f t="shared" si="26"/>
        <v>1068714.0688788609</v>
      </c>
      <c r="Q21" s="33">
        <f t="shared" si="27"/>
        <v>1.5417110497880585E-2</v>
      </c>
      <c r="R21" s="210"/>
      <c r="S21" s="14">
        <v>5</v>
      </c>
      <c r="T21" s="37">
        <f t="shared" si="28"/>
        <v>1068714.0688788609</v>
      </c>
      <c r="U21" s="58">
        <f t="shared" si="29"/>
        <v>0</v>
      </c>
      <c r="V21" s="58">
        <f t="shared" si="30"/>
        <v>468714.06887886091</v>
      </c>
      <c r="W21" s="59">
        <f t="shared" si="22"/>
        <v>8.506609107811711E-3</v>
      </c>
      <c r="X21" s="67">
        <f t="shared" si="23"/>
        <v>-11739.044620434212</v>
      </c>
      <c r="Y21" s="38">
        <f t="shared" si="31"/>
        <v>1056975.0242584266</v>
      </c>
      <c r="Z21" s="39">
        <f t="shared" si="32"/>
        <v>1.5247764782948016E-2</v>
      </c>
    </row>
    <row r="22" spans="1:26" s="2" customFormat="1" x14ac:dyDescent="0.3">
      <c r="A22" s="210"/>
      <c r="B22" s="14">
        <v>6</v>
      </c>
      <c r="C22" s="72">
        <v>69391</v>
      </c>
      <c r="D22" s="73">
        <v>24433.450704225354</v>
      </c>
      <c r="E22" s="74">
        <v>9291</v>
      </c>
      <c r="F22" s="75">
        <v>1154</v>
      </c>
      <c r="G22" s="83">
        <v>1604</v>
      </c>
      <c r="H22" s="210"/>
      <c r="I22" s="14">
        <v>6</v>
      </c>
      <c r="J22" s="25">
        <f t="shared" si="18"/>
        <v>34878.450704225354</v>
      </c>
      <c r="K22" s="6">
        <f t="shared" si="24"/>
        <v>6.6150891466452977E-3</v>
      </c>
      <c r="L22" s="26">
        <f t="shared" si="19"/>
        <v>687836.94962291059</v>
      </c>
      <c r="M22" s="25">
        <f t="shared" si="20"/>
        <v>1604</v>
      </c>
      <c r="N22" s="7">
        <f t="shared" si="25"/>
        <v>5.3293462912202012E-3</v>
      </c>
      <c r="O22" s="26">
        <f t="shared" si="21"/>
        <v>-184715.13712434587</v>
      </c>
      <c r="P22" s="38">
        <f t="shared" si="26"/>
        <v>503121.81249856472</v>
      </c>
      <c r="Q22" s="33">
        <f t="shared" si="27"/>
        <v>7.2579605743578477E-3</v>
      </c>
      <c r="R22" s="210"/>
      <c r="S22" s="14">
        <v>6</v>
      </c>
      <c r="T22" s="37">
        <f t="shared" si="28"/>
        <v>503121.81249856472</v>
      </c>
      <c r="U22" s="58">
        <f t="shared" si="29"/>
        <v>96878.187501435285</v>
      </c>
      <c r="V22" s="58">
        <f t="shared" si="30"/>
        <v>0</v>
      </c>
      <c r="W22" s="59">
        <f t="shared" si="22"/>
        <v>0</v>
      </c>
      <c r="X22" s="67">
        <f t="shared" si="23"/>
        <v>96878.187501435285</v>
      </c>
      <c r="Y22" s="38">
        <f t="shared" si="31"/>
        <v>600000</v>
      </c>
      <c r="Z22" s="39">
        <f t="shared" si="32"/>
        <v>8.655510924856058E-3</v>
      </c>
    </row>
    <row r="23" spans="1:26" s="2" customFormat="1" x14ac:dyDescent="0.3">
      <c r="A23" s="210"/>
      <c r="B23" s="14">
        <v>7</v>
      </c>
      <c r="C23" s="72">
        <v>37734</v>
      </c>
      <c r="D23" s="73">
        <v>13286.619718309859</v>
      </c>
      <c r="E23" s="74">
        <v>3779</v>
      </c>
      <c r="F23" s="75">
        <v>628</v>
      </c>
      <c r="G23" s="83">
        <v>868</v>
      </c>
      <c r="H23" s="210"/>
      <c r="I23" s="14">
        <v>7</v>
      </c>
      <c r="J23" s="25">
        <f t="shared" si="18"/>
        <v>17693.619718309859</v>
      </c>
      <c r="K23" s="6">
        <f t="shared" si="24"/>
        <v>3.3557933165099382E-3</v>
      </c>
      <c r="L23" s="26">
        <f t="shared" si="19"/>
        <v>348935.3789833234</v>
      </c>
      <c r="M23" s="25">
        <f t="shared" si="20"/>
        <v>868</v>
      </c>
      <c r="N23" s="7">
        <f t="shared" si="25"/>
        <v>2.883960461832378E-3</v>
      </c>
      <c r="O23" s="26">
        <f t="shared" si="21"/>
        <v>-99958.066723149765</v>
      </c>
      <c r="P23" s="38">
        <f t="shared" si="26"/>
        <v>248977.31226017364</v>
      </c>
      <c r="Q23" s="33">
        <f t="shared" si="27"/>
        <v>3.5917097438487185E-3</v>
      </c>
      <c r="R23" s="210"/>
      <c r="S23" s="14">
        <v>7</v>
      </c>
      <c r="T23" s="37">
        <f t="shared" si="28"/>
        <v>248977.31226017364</v>
      </c>
      <c r="U23" s="58">
        <f t="shared" si="29"/>
        <v>351022.68773982639</v>
      </c>
      <c r="V23" s="58">
        <f t="shared" si="30"/>
        <v>0</v>
      </c>
      <c r="W23" s="59">
        <f t="shared" si="22"/>
        <v>0</v>
      </c>
      <c r="X23" s="67">
        <f t="shared" si="23"/>
        <v>351022.68773982639</v>
      </c>
      <c r="Y23" s="38">
        <f t="shared" si="31"/>
        <v>600000</v>
      </c>
      <c r="Z23" s="39">
        <f t="shared" si="32"/>
        <v>8.655510924856058E-3</v>
      </c>
    </row>
    <row r="24" spans="1:26" s="2" customFormat="1" x14ac:dyDescent="0.3">
      <c r="A24" s="210"/>
      <c r="B24" s="14">
        <v>8</v>
      </c>
      <c r="C24" s="72">
        <v>105173</v>
      </c>
      <c r="D24" s="73">
        <v>37032.74647887324</v>
      </c>
      <c r="E24" s="74">
        <v>8873</v>
      </c>
      <c r="F24" s="75">
        <v>1357</v>
      </c>
      <c r="G24" s="83">
        <v>2121</v>
      </c>
      <c r="H24" s="210"/>
      <c r="I24" s="14">
        <v>8</v>
      </c>
      <c r="J24" s="25">
        <f t="shared" si="18"/>
        <v>47262.74647887324</v>
      </c>
      <c r="K24" s="6">
        <f t="shared" si="24"/>
        <v>8.9639096622823027E-3</v>
      </c>
      <c r="L24" s="26">
        <f t="shared" si="19"/>
        <v>932067.29979238485</v>
      </c>
      <c r="M24" s="25">
        <f t="shared" si="20"/>
        <v>2121</v>
      </c>
      <c r="N24" s="7">
        <f t="shared" si="25"/>
        <v>7.0470969349613758E-3</v>
      </c>
      <c r="O24" s="26">
        <f t="shared" si="21"/>
        <v>-244252.37271866435</v>
      </c>
      <c r="P24" s="38">
        <f t="shared" si="26"/>
        <v>687814.92707372049</v>
      </c>
      <c r="Q24" s="33">
        <f t="shared" si="27"/>
        <v>9.9223160259427675E-3</v>
      </c>
      <c r="R24" s="210"/>
      <c r="S24" s="14">
        <v>8</v>
      </c>
      <c r="T24" s="37">
        <f t="shared" si="28"/>
        <v>687814.92707372049</v>
      </c>
      <c r="U24" s="58">
        <f t="shared" si="29"/>
        <v>0</v>
      </c>
      <c r="V24" s="58">
        <f t="shared" si="30"/>
        <v>87814.927073720493</v>
      </c>
      <c r="W24" s="59">
        <f t="shared" si="22"/>
        <v>1.593737649552388E-3</v>
      </c>
      <c r="X24" s="67">
        <f t="shared" si="23"/>
        <v>-2199.3437272415385</v>
      </c>
      <c r="Y24" s="38">
        <f t="shared" si="31"/>
        <v>685615.58334647899</v>
      </c>
      <c r="Z24" s="39">
        <f t="shared" si="32"/>
        <v>9.8905886198450144E-3</v>
      </c>
    </row>
    <row r="25" spans="1:26" s="2" customFormat="1" x14ac:dyDescent="0.3">
      <c r="A25" s="210"/>
      <c r="B25" s="14">
        <v>9</v>
      </c>
      <c r="C25" s="72">
        <v>74659</v>
      </c>
      <c r="D25" s="73">
        <v>26288.380281690141</v>
      </c>
      <c r="E25" s="74">
        <v>6473</v>
      </c>
      <c r="F25" s="75">
        <v>1488</v>
      </c>
      <c r="G25" s="83">
        <v>1429</v>
      </c>
      <c r="H25" s="210"/>
      <c r="I25" s="14">
        <v>9</v>
      </c>
      <c r="J25" s="25">
        <f t="shared" si="18"/>
        <v>34249.380281690144</v>
      </c>
      <c r="K25" s="6">
        <f t="shared" si="24"/>
        <v>6.4957788894358486E-3</v>
      </c>
      <c r="L25" s="26">
        <f t="shared" si="19"/>
        <v>675431.06943620287</v>
      </c>
      <c r="M25" s="25">
        <f t="shared" si="20"/>
        <v>1429</v>
      </c>
      <c r="N25" s="7">
        <f t="shared" si="25"/>
        <v>4.7479026497217374E-3</v>
      </c>
      <c r="O25" s="26">
        <f t="shared" si="21"/>
        <v>-164562.30109145277</v>
      </c>
      <c r="P25" s="38">
        <f t="shared" si="26"/>
        <v>510868.7683447501</v>
      </c>
      <c r="Q25" s="33">
        <f t="shared" si="27"/>
        <v>7.3697170092929054E-3</v>
      </c>
      <c r="R25" s="210"/>
      <c r="S25" s="14">
        <v>9</v>
      </c>
      <c r="T25" s="37">
        <f t="shared" si="28"/>
        <v>510868.7683447501</v>
      </c>
      <c r="U25" s="58">
        <f t="shared" si="29"/>
        <v>89131.231655249896</v>
      </c>
      <c r="V25" s="58">
        <f t="shared" si="30"/>
        <v>0</v>
      </c>
      <c r="W25" s="59">
        <f t="shared" si="22"/>
        <v>0</v>
      </c>
      <c r="X25" s="67">
        <f t="shared" si="23"/>
        <v>89131.231655249896</v>
      </c>
      <c r="Y25" s="38">
        <f t="shared" si="31"/>
        <v>600000</v>
      </c>
      <c r="Z25" s="39">
        <f t="shared" si="32"/>
        <v>8.655510924856058E-3</v>
      </c>
    </row>
    <row r="26" spans="1:26" s="2" customFormat="1" x14ac:dyDescent="0.3">
      <c r="A26" s="210"/>
      <c r="B26" s="14">
        <v>10</v>
      </c>
      <c r="C26" s="72">
        <v>97406</v>
      </c>
      <c r="D26" s="73">
        <v>34297.887323943665</v>
      </c>
      <c r="E26" s="74">
        <v>9590</v>
      </c>
      <c r="F26" s="75">
        <v>2380</v>
      </c>
      <c r="G26" s="83">
        <v>2136</v>
      </c>
      <c r="H26" s="210"/>
      <c r="I26" s="14">
        <v>10</v>
      </c>
      <c r="J26" s="25">
        <f t="shared" si="18"/>
        <v>46267.887323943665</v>
      </c>
      <c r="K26" s="6">
        <f t="shared" si="24"/>
        <v>8.7752234716592173E-3</v>
      </c>
      <c r="L26" s="26">
        <f t="shared" si="19"/>
        <v>912447.71025745501</v>
      </c>
      <c r="M26" s="25">
        <f t="shared" si="20"/>
        <v>2136</v>
      </c>
      <c r="N26" s="7">
        <f t="shared" si="25"/>
        <v>7.0969349613755296E-3</v>
      </c>
      <c r="O26" s="26">
        <f t="shared" si="21"/>
        <v>-245979.75866434089</v>
      </c>
      <c r="P26" s="38">
        <f t="shared" si="26"/>
        <v>666467.95159311406</v>
      </c>
      <c r="Q26" s="33">
        <f t="shared" si="27"/>
        <v>9.6143677268010624E-3</v>
      </c>
      <c r="R26" s="210"/>
      <c r="S26" s="14">
        <v>10</v>
      </c>
      <c r="T26" s="37">
        <f t="shared" si="28"/>
        <v>666467.95159311406</v>
      </c>
      <c r="U26" s="58">
        <f t="shared" si="29"/>
        <v>0</v>
      </c>
      <c r="V26" s="58">
        <f t="shared" si="30"/>
        <v>66467.951593114063</v>
      </c>
      <c r="W26" s="59">
        <f t="shared" si="22"/>
        <v>1.2063151501981134E-3</v>
      </c>
      <c r="X26" s="67">
        <f t="shared" si="23"/>
        <v>-1664.7041371017347</v>
      </c>
      <c r="Y26" s="38">
        <f t="shared" si="31"/>
        <v>664803.24745601229</v>
      </c>
      <c r="Z26" s="39">
        <f t="shared" si="32"/>
        <v>9.5903529520588327E-3</v>
      </c>
    </row>
    <row r="27" spans="1:26" s="2" customFormat="1" x14ac:dyDescent="0.3">
      <c r="A27" s="210"/>
      <c r="B27" s="14">
        <v>11</v>
      </c>
      <c r="C27" s="72">
        <v>151279</v>
      </c>
      <c r="D27" s="73">
        <v>53267.25352112676</v>
      </c>
      <c r="E27" s="74">
        <v>8593</v>
      </c>
      <c r="F27" s="75">
        <v>3280</v>
      </c>
      <c r="G27" s="83">
        <v>2846</v>
      </c>
      <c r="H27" s="210"/>
      <c r="I27" s="14">
        <v>11</v>
      </c>
      <c r="J27" s="25">
        <f t="shared" si="18"/>
        <v>65140.25352112676</v>
      </c>
      <c r="K27" s="6">
        <f t="shared" si="24"/>
        <v>1.2354579271066255E-2</v>
      </c>
      <c r="L27" s="26">
        <f t="shared" si="19"/>
        <v>1284629.1155417315</v>
      </c>
      <c r="M27" s="25">
        <f t="shared" si="20"/>
        <v>2846</v>
      </c>
      <c r="N27" s="7">
        <f t="shared" si="25"/>
        <v>9.4559348783121513E-3</v>
      </c>
      <c r="O27" s="26">
        <f t="shared" si="21"/>
        <v>-327742.69342636428</v>
      </c>
      <c r="P27" s="38">
        <f t="shared" si="26"/>
        <v>956886.42211536714</v>
      </c>
      <c r="Q27" s="33">
        <f t="shared" si="27"/>
        <v>1.380390146744331E-2</v>
      </c>
      <c r="R27" s="210"/>
      <c r="S27" s="14">
        <v>11</v>
      </c>
      <c r="T27" s="37">
        <f t="shared" si="28"/>
        <v>956886.42211536714</v>
      </c>
      <c r="U27" s="58">
        <f t="shared" si="29"/>
        <v>0</v>
      </c>
      <c r="V27" s="58">
        <f t="shared" si="30"/>
        <v>356886.42211536714</v>
      </c>
      <c r="W27" s="59">
        <f t="shared" si="22"/>
        <v>6.4770688366206112E-3</v>
      </c>
      <c r="X27" s="67">
        <f t="shared" si="23"/>
        <v>-8938.2971662456985</v>
      </c>
      <c r="Y27" s="38">
        <f t="shared" si="31"/>
        <v>947948.12494912138</v>
      </c>
      <c r="Z27" s="39">
        <f t="shared" si="32"/>
        <v>1.3674958919489893E-2</v>
      </c>
    </row>
    <row r="28" spans="1:26" s="2" customFormat="1" x14ac:dyDescent="0.3">
      <c r="A28" s="210"/>
      <c r="B28" s="14">
        <v>12</v>
      </c>
      <c r="C28" s="72">
        <v>63264</v>
      </c>
      <c r="D28" s="73">
        <v>22276.056338028171</v>
      </c>
      <c r="E28" s="74">
        <v>5073</v>
      </c>
      <c r="F28" s="75">
        <v>1022</v>
      </c>
      <c r="G28" s="83">
        <v>1258</v>
      </c>
      <c r="H28" s="210"/>
      <c r="I28" s="14">
        <v>12</v>
      </c>
      <c r="J28" s="25">
        <f t="shared" si="18"/>
        <v>28371.056338028171</v>
      </c>
      <c r="K28" s="6">
        <f t="shared" si="24"/>
        <v>5.3808888603476953E-3</v>
      </c>
      <c r="L28" s="26">
        <f t="shared" si="19"/>
        <v>559504.8075562868</v>
      </c>
      <c r="M28" s="25">
        <f t="shared" si="20"/>
        <v>1258</v>
      </c>
      <c r="N28" s="7">
        <f t="shared" si="25"/>
        <v>4.179749148600382E-3</v>
      </c>
      <c r="O28" s="26">
        <f t="shared" si="21"/>
        <v>-144870.10131074008</v>
      </c>
      <c r="P28" s="38">
        <f t="shared" si="26"/>
        <v>414634.70624554669</v>
      </c>
      <c r="Q28" s="33">
        <f t="shared" si="27"/>
        <v>5.9814587162213533E-3</v>
      </c>
      <c r="R28" s="210"/>
      <c r="S28" s="14">
        <v>12</v>
      </c>
      <c r="T28" s="37">
        <f t="shared" si="28"/>
        <v>414634.70624554669</v>
      </c>
      <c r="U28" s="58">
        <f t="shared" si="29"/>
        <v>185365.29375445331</v>
      </c>
      <c r="V28" s="58">
        <f t="shared" si="30"/>
        <v>0</v>
      </c>
      <c r="W28" s="59">
        <f t="shared" si="22"/>
        <v>0</v>
      </c>
      <c r="X28" s="67">
        <f t="shared" si="23"/>
        <v>185365.29375445331</v>
      </c>
      <c r="Y28" s="38">
        <f t="shared" si="31"/>
        <v>600000</v>
      </c>
      <c r="Z28" s="39">
        <f t="shared" si="32"/>
        <v>8.655510924856058E-3</v>
      </c>
    </row>
    <row r="29" spans="1:26" s="2" customFormat="1" x14ac:dyDescent="0.3">
      <c r="A29" s="210"/>
      <c r="B29" s="14">
        <v>13</v>
      </c>
      <c r="C29" s="72">
        <v>12643</v>
      </c>
      <c r="D29" s="73">
        <v>4451.7605633802823</v>
      </c>
      <c r="E29" s="74">
        <v>1040</v>
      </c>
      <c r="F29" s="75">
        <v>206</v>
      </c>
      <c r="G29" s="83">
        <v>454</v>
      </c>
      <c r="H29" s="210"/>
      <c r="I29" s="14">
        <v>13</v>
      </c>
      <c r="J29" s="25">
        <f t="shared" si="18"/>
        <v>5697.7605633802823</v>
      </c>
      <c r="K29" s="6">
        <f t="shared" si="24"/>
        <v>1.0806441599894344E-3</v>
      </c>
      <c r="L29" s="26">
        <f t="shared" si="19"/>
        <v>112365.3765137689</v>
      </c>
      <c r="M29" s="25">
        <f t="shared" si="20"/>
        <v>454</v>
      </c>
      <c r="N29" s="7">
        <f t="shared" si="25"/>
        <v>1.5084309328017276E-3</v>
      </c>
      <c r="O29" s="26">
        <f t="shared" si="21"/>
        <v>-52282.214622476946</v>
      </c>
      <c r="P29" s="38">
        <f t="shared" si="26"/>
        <v>60083.161891291958</v>
      </c>
      <c r="Q29" s="33">
        <f t="shared" si="27"/>
        <v>8.6675077358328793E-4</v>
      </c>
      <c r="R29" s="210"/>
      <c r="S29" s="14">
        <v>13</v>
      </c>
      <c r="T29" s="37">
        <f t="shared" si="28"/>
        <v>60083.161891291958</v>
      </c>
      <c r="U29" s="58">
        <f t="shared" si="29"/>
        <v>539916.83810870803</v>
      </c>
      <c r="V29" s="58">
        <f t="shared" si="30"/>
        <v>0</v>
      </c>
      <c r="W29" s="59">
        <f t="shared" si="22"/>
        <v>0</v>
      </c>
      <c r="X29" s="67">
        <f t="shared" si="23"/>
        <v>539916.83810870803</v>
      </c>
      <c r="Y29" s="38">
        <f t="shared" si="31"/>
        <v>600000</v>
      </c>
      <c r="Z29" s="39">
        <f t="shared" si="32"/>
        <v>8.655510924856058E-3</v>
      </c>
    </row>
    <row r="30" spans="1:26" s="2" customFormat="1" ht="14.4" thickBot="1" x14ac:dyDescent="0.35">
      <c r="A30" s="211"/>
      <c r="B30" s="15" t="s">
        <v>2</v>
      </c>
      <c r="C30" s="76">
        <f>SUM(C17:C29)</f>
        <v>1334774</v>
      </c>
      <c r="D30" s="77">
        <f t="shared" ref="D30:G30" si="33">SUM(D17:D29)</f>
        <v>469990.84507042251</v>
      </c>
      <c r="E30" s="77">
        <f t="shared" si="33"/>
        <v>121321</v>
      </c>
      <c r="F30" s="78">
        <f t="shared" si="33"/>
        <v>22881</v>
      </c>
      <c r="G30" s="84">
        <f t="shared" si="33"/>
        <v>30828</v>
      </c>
      <c r="H30" s="211"/>
      <c r="I30" s="15" t="s">
        <v>2</v>
      </c>
      <c r="J30" s="27">
        <f>SUM(J17:J29)</f>
        <v>614192.84507042263</v>
      </c>
      <c r="K30" s="19">
        <f t="shared" ref="K30:O30" si="34">SUM(K17:K29)</f>
        <v>0.11648855787279404</v>
      </c>
      <c r="L30" s="28">
        <f t="shared" si="34"/>
        <v>12112479.898147453</v>
      </c>
      <c r="M30" s="27">
        <f t="shared" si="34"/>
        <v>30828</v>
      </c>
      <c r="N30" s="19">
        <f t="shared" si="34"/>
        <v>0.10242711188636931</v>
      </c>
      <c r="O30" s="28">
        <f t="shared" si="34"/>
        <v>-3550123.5955544477</v>
      </c>
      <c r="P30" s="42">
        <f>SUM(P17:P29)</f>
        <v>8562356.302593004</v>
      </c>
      <c r="Q30" s="20">
        <f>P30/$P$31</f>
        <v>0.12351928086600646</v>
      </c>
      <c r="R30" s="211"/>
      <c r="S30" s="15" t="s">
        <v>2</v>
      </c>
      <c r="T30" s="40">
        <f t="shared" ref="T30:Y30" si="35">SUM(T17:T29)</f>
        <v>8562356.302593004</v>
      </c>
      <c r="U30" s="62">
        <f t="shared" si="35"/>
        <v>1357872.5343849515</v>
      </c>
      <c r="V30" s="62">
        <f t="shared" si="35"/>
        <v>2120228.836977955</v>
      </c>
      <c r="W30" s="63">
        <f t="shared" si="35"/>
        <v>3.8479659845548797E-2</v>
      </c>
      <c r="X30" s="41">
        <f t="shared" si="35"/>
        <v>1304770.9473505579</v>
      </c>
      <c r="Y30" s="42">
        <f t="shared" si="35"/>
        <v>9867127.24994356</v>
      </c>
      <c r="Z30" s="43">
        <f>Y30/$Y$31</f>
        <v>0.14234171284805233</v>
      </c>
    </row>
    <row r="31" spans="1:26" s="2" customFormat="1" ht="14.4" thickBot="1" x14ac:dyDescent="0.35">
      <c r="B31" s="16" t="s">
        <v>0</v>
      </c>
      <c r="C31" s="79">
        <f>SUM(C16,C30)</f>
        <v>9709433</v>
      </c>
      <c r="D31" s="80">
        <f>SUM(D16,D30)</f>
        <v>3418814.436619719</v>
      </c>
      <c r="E31" s="80">
        <f t="shared" ref="E31:G31" si="36">SUM(E16,E30)</f>
        <v>1585285</v>
      </c>
      <c r="F31" s="81">
        <f t="shared" si="36"/>
        <v>268460</v>
      </c>
      <c r="G31" s="85">
        <f t="shared" si="36"/>
        <v>300975</v>
      </c>
      <c r="I31" s="16" t="s">
        <v>0</v>
      </c>
      <c r="J31" s="29">
        <f t="shared" ref="J31:P31" si="37">SUM(J3:J15)+SUM(J17:J29)</f>
        <v>5272559.4366197195</v>
      </c>
      <c r="K31" s="17">
        <f t="shared" si="37"/>
        <v>1</v>
      </c>
      <c r="L31" s="30">
        <f t="shared" si="37"/>
        <v>103979996.99999999</v>
      </c>
      <c r="M31" s="29">
        <f t="shared" si="37"/>
        <v>300975</v>
      </c>
      <c r="N31" s="17">
        <f t="shared" si="37"/>
        <v>1</v>
      </c>
      <c r="O31" s="30">
        <f t="shared" si="37"/>
        <v>-34659999</v>
      </c>
      <c r="P31" s="46">
        <f t="shared" si="37"/>
        <v>69319997.999999985</v>
      </c>
      <c r="Q31" s="18">
        <f>P31/$P$31</f>
        <v>1</v>
      </c>
      <c r="S31" s="16" t="s">
        <v>0</v>
      </c>
      <c r="T31" s="44">
        <f>SUM(T16,T30)</f>
        <v>69319997.999999985</v>
      </c>
      <c r="U31" s="64">
        <f>SUM(U17:U29)+SUM(U3:U15)</f>
        <v>1379991.0718424949</v>
      </c>
      <c r="V31" s="64">
        <f>SUM(V17:V29)+SUM(V3:V15)</f>
        <v>55099989.071842477</v>
      </c>
      <c r="W31" s="65">
        <f>SUM(W17:W29)+SUM(W3:W15)</f>
        <v>1</v>
      </c>
      <c r="X31" s="45">
        <f>SUM(X17:X29)+SUM(X3:X15)</f>
        <v>0</v>
      </c>
      <c r="Y31" s="46">
        <f>SUM(Y17:Y29)+SUM(Y3:Y15)</f>
        <v>69319997.999999985</v>
      </c>
      <c r="Z31" s="47">
        <f>Y31/$Y$31</f>
        <v>1</v>
      </c>
    </row>
    <row r="32" spans="1:26" ht="15" customHeight="1" x14ac:dyDescent="0.3">
      <c r="A32" s="213" t="s">
        <v>7</v>
      </c>
      <c r="B32" s="213"/>
      <c r="C32" s="213"/>
      <c r="D32" s="213"/>
      <c r="E32" s="213"/>
      <c r="F32" s="213"/>
      <c r="G32" s="86">
        <v>2.84</v>
      </c>
      <c r="H32" s="214" t="s">
        <v>67</v>
      </c>
      <c r="I32" s="214"/>
      <c r="J32" s="214"/>
      <c r="K32" s="214"/>
      <c r="L32" s="214"/>
      <c r="M32" s="214"/>
      <c r="N32" s="214"/>
      <c r="O32" s="214"/>
      <c r="P32" s="214"/>
      <c r="Q32" s="4">
        <v>69319998</v>
      </c>
      <c r="R32" s="4"/>
      <c r="S32" s="215" t="s">
        <v>15</v>
      </c>
      <c r="T32" s="215"/>
      <c r="U32" s="215"/>
      <c r="V32" s="215"/>
      <c r="W32" s="215"/>
      <c r="X32" s="215"/>
      <c r="Y32" s="215"/>
      <c r="Z32" s="5">
        <v>600000</v>
      </c>
    </row>
    <row r="33" spans="8:18" ht="12.75" customHeight="1" x14ac:dyDescent="0.3">
      <c r="H33" s="213" t="s">
        <v>9</v>
      </c>
      <c r="I33" s="213"/>
      <c r="J33" s="213"/>
      <c r="K33" s="213"/>
      <c r="L33" s="213"/>
      <c r="M33" s="213"/>
      <c r="N33" s="213"/>
      <c r="O33" s="213"/>
      <c r="P33" s="213"/>
      <c r="Q33" s="3">
        <v>1.5</v>
      </c>
      <c r="R33" s="3"/>
    </row>
    <row r="34" spans="8:18" ht="12.75" customHeight="1" x14ac:dyDescent="0.3">
      <c r="H34" s="213" t="s">
        <v>10</v>
      </c>
      <c r="I34" s="213"/>
      <c r="J34" s="213"/>
      <c r="K34" s="213"/>
      <c r="L34" s="213"/>
      <c r="M34" s="213"/>
      <c r="N34" s="213"/>
      <c r="O34" s="213"/>
      <c r="P34" s="213"/>
      <c r="Q34" s="3">
        <v>-0.5</v>
      </c>
      <c r="R34" s="3"/>
    </row>
    <row r="35" spans="8:18" x14ac:dyDescent="0.3">
      <c r="R35" s="3"/>
    </row>
  </sheetData>
  <mergeCells count="14">
    <mergeCell ref="A32:F32"/>
    <mergeCell ref="H32:P32"/>
    <mergeCell ref="H33:P33"/>
    <mergeCell ref="H34:P34"/>
    <mergeCell ref="S32:Y32"/>
    <mergeCell ref="R17:R30"/>
    <mergeCell ref="A3:A16"/>
    <mergeCell ref="R1:Z1"/>
    <mergeCell ref="R3:R16"/>
    <mergeCell ref="A1:G1"/>
    <mergeCell ref="H1:Q1"/>
    <mergeCell ref="H3:H16"/>
    <mergeCell ref="H17:H30"/>
    <mergeCell ref="A17:A30"/>
  </mergeCells>
  <pageMargins left="0.25" right="0.25" top="0.75" bottom="0.75" header="0.3" footer="0.3"/>
  <pageSetup orientation="landscape" r:id="rId1"/>
  <headerFooter>
    <oddHeader>&amp;CTexas Department of Housing and Community Affairs 
2020 HTC Regional Allocation Formula</oddHeader>
    <oddFooter>&amp;LAs presented to the Board 07/25/2019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67"/>
  <sheetViews>
    <sheetView tabSelected="1" topLeftCell="A13" zoomScale="60" zoomScaleNormal="60" workbookViewId="0">
      <selection activeCell="U28" sqref="U28"/>
    </sheetView>
  </sheetViews>
  <sheetFormatPr defaultColWidth="9.109375" defaultRowHeight="15.6" x14ac:dyDescent="0.3"/>
  <cols>
    <col min="1" max="1" width="2.33203125" style="88" customWidth="1"/>
    <col min="2" max="2" width="8" style="88" customWidth="1"/>
    <col min="3" max="3" width="3.88671875" style="88" customWidth="1"/>
    <col min="4" max="4" width="26.33203125" style="88" customWidth="1"/>
    <col min="5" max="5" width="18.5546875" style="88" customWidth="1"/>
    <col min="6" max="6" width="16.33203125" style="88" customWidth="1"/>
    <col min="7" max="7" width="18.88671875" style="88" customWidth="1"/>
    <col min="8" max="8" width="16.109375" style="88" customWidth="1"/>
    <col min="9" max="9" width="16.33203125" style="88" customWidth="1"/>
    <col min="10" max="10" width="20.88671875" style="88" customWidth="1"/>
    <col min="11" max="11" width="13.33203125" style="88" customWidth="1"/>
    <col min="12" max="12" width="2.6640625" style="88" customWidth="1"/>
    <col min="13" max="13" width="22.44140625" style="88" customWidth="1"/>
    <col min="14" max="14" width="17" style="88" customWidth="1"/>
    <col min="15" max="15" width="19" style="88" customWidth="1"/>
    <col min="16" max="16" width="31.33203125" style="104" hidden="1" customWidth="1"/>
    <col min="17" max="17" width="18" style="104" hidden="1" customWidth="1"/>
    <col min="18" max="21" width="8.88671875" style="104"/>
    <col min="22" max="22" width="24" style="104" customWidth="1"/>
    <col min="23" max="24" width="15.44140625" style="104" customWidth="1"/>
    <col min="25" max="25" width="16.33203125" style="104" customWidth="1"/>
    <col min="26" max="26" width="19.5546875" style="104" customWidth="1"/>
    <col min="27" max="29" width="8.88671875" style="104"/>
    <col min="30" max="30" width="20.6640625" style="104" customWidth="1"/>
    <col min="31" max="33" width="15.6640625" style="104" customWidth="1"/>
    <col min="34" max="34" width="15.6640625" style="88" customWidth="1"/>
    <col min="35" max="16384" width="9.109375" style="88"/>
  </cols>
  <sheetData>
    <row r="1" spans="1:34" ht="6" customHeight="1" x14ac:dyDescent="0.3"/>
    <row r="2" spans="1:34" ht="32.25" customHeight="1" thickBot="1" x14ac:dyDescent="0.35">
      <c r="A2" s="216" t="s">
        <v>60</v>
      </c>
      <c r="B2" s="216"/>
      <c r="C2" s="216"/>
      <c r="D2" s="216"/>
      <c r="E2" s="216"/>
      <c r="F2" s="216"/>
      <c r="G2" s="216"/>
      <c r="H2" s="216"/>
      <c r="I2" s="216"/>
      <c r="J2" s="216"/>
      <c r="K2" s="216"/>
      <c r="L2" s="216"/>
      <c r="M2" s="216"/>
      <c r="N2" s="216"/>
      <c r="O2" s="216"/>
    </row>
    <row r="3" spans="1:34" ht="6.75" customHeight="1" thickBot="1" x14ac:dyDescent="0.35">
      <c r="A3" s="89"/>
      <c r="B3" s="89"/>
      <c r="C3" s="89"/>
      <c r="D3" s="89"/>
      <c r="E3" s="89"/>
      <c r="F3" s="89"/>
      <c r="G3" s="89"/>
      <c r="H3" s="89"/>
      <c r="I3" s="89"/>
      <c r="J3" s="89"/>
      <c r="K3" s="89"/>
      <c r="L3" s="89"/>
    </row>
    <row r="4" spans="1:34" ht="15" customHeight="1" x14ac:dyDescent="0.3">
      <c r="A4" s="105"/>
      <c r="B4" s="106"/>
      <c r="C4" s="218" t="s">
        <v>59</v>
      </c>
      <c r="D4" s="219"/>
      <c r="E4" s="219"/>
      <c r="F4" s="219"/>
      <c r="G4" s="219"/>
      <c r="H4" s="219"/>
      <c r="I4" s="219"/>
      <c r="J4" s="219"/>
      <c r="K4" s="220"/>
      <c r="L4" s="89"/>
      <c r="M4" s="224" t="s">
        <v>31</v>
      </c>
      <c r="N4" s="226" t="s">
        <v>32</v>
      </c>
      <c r="O4" s="227"/>
    </row>
    <row r="5" spans="1:34" ht="16.2" thickBot="1" x14ac:dyDescent="0.35">
      <c r="A5" s="107"/>
      <c r="B5" s="108"/>
      <c r="C5" s="221"/>
      <c r="D5" s="222"/>
      <c r="E5" s="222"/>
      <c r="F5" s="222"/>
      <c r="G5" s="222"/>
      <c r="H5" s="222"/>
      <c r="I5" s="222"/>
      <c r="J5" s="222"/>
      <c r="K5" s="223"/>
      <c r="L5" s="89"/>
      <c r="M5" s="225"/>
      <c r="N5" s="228"/>
      <c r="O5" s="229"/>
    </row>
    <row r="6" spans="1:34" ht="16.2" thickBot="1" x14ac:dyDescent="0.35">
      <c r="A6" s="106"/>
      <c r="B6" s="109"/>
      <c r="C6" s="208" t="s">
        <v>68</v>
      </c>
      <c r="D6" s="110"/>
      <c r="E6" s="110"/>
      <c r="F6" s="106"/>
      <c r="G6" s="106"/>
      <c r="H6" s="106"/>
      <c r="I6" s="106"/>
      <c r="J6" s="106"/>
      <c r="K6" s="106"/>
      <c r="L6" s="111"/>
      <c r="M6" s="106"/>
      <c r="N6" s="106"/>
      <c r="O6" s="106"/>
      <c r="AH6" s="90"/>
    </row>
    <row r="7" spans="1:34" ht="63" thickBot="1" x14ac:dyDescent="0.35">
      <c r="A7" s="112"/>
      <c r="B7" s="113"/>
      <c r="C7" s="114" t="s">
        <v>1</v>
      </c>
      <c r="D7" s="115" t="s">
        <v>33</v>
      </c>
      <c r="E7" s="115" t="s">
        <v>34</v>
      </c>
      <c r="F7" s="115" t="s">
        <v>35</v>
      </c>
      <c r="G7" s="115" t="s">
        <v>36</v>
      </c>
      <c r="H7" s="115" t="s">
        <v>37</v>
      </c>
      <c r="I7" s="115" t="s">
        <v>26</v>
      </c>
      <c r="J7" s="116" t="s">
        <v>38</v>
      </c>
      <c r="K7" s="117" t="s">
        <v>39</v>
      </c>
      <c r="L7" s="89"/>
      <c r="M7" s="118" t="s">
        <v>40</v>
      </c>
      <c r="N7" s="91" t="s">
        <v>58</v>
      </c>
      <c r="O7" s="91" t="s">
        <v>41</v>
      </c>
    </row>
    <row r="8" spans="1:34" ht="15" customHeight="1" x14ac:dyDescent="0.3">
      <c r="A8" s="119"/>
      <c r="B8" s="230" t="s">
        <v>42</v>
      </c>
      <c r="C8" s="120">
        <v>1</v>
      </c>
      <c r="D8" s="121" t="s">
        <v>43</v>
      </c>
      <c r="E8" s="122">
        <v>1284691.0272505512</v>
      </c>
      <c r="F8" s="123">
        <f>IF(E8&lt;600000,600000-E8,0)</f>
        <v>0</v>
      </c>
      <c r="G8" s="123">
        <f>IF(E8&gt;600000,E8-600000,0)</f>
        <v>684691.02725055115</v>
      </c>
      <c r="H8" s="124">
        <f>IF(E8&gt;600000,(E8-600000)/$G$39,0)</f>
        <v>1.2426336897414124E-2</v>
      </c>
      <c r="I8" s="123">
        <f>IF(E8&lt;600000,F8,-H8*$F$39)</f>
        <v>-17148.23397413846</v>
      </c>
      <c r="J8" s="125">
        <f>E8+I8</f>
        <v>1267542.7932764126</v>
      </c>
      <c r="K8" s="126">
        <f>J8/$E$39</f>
        <v>1.8285384158210925E-2</v>
      </c>
      <c r="L8" s="89"/>
      <c r="M8" s="92">
        <v>1500000</v>
      </c>
      <c r="N8" s="93" t="s">
        <v>44</v>
      </c>
      <c r="O8" s="94" t="s">
        <v>44</v>
      </c>
      <c r="P8" s="127">
        <f>J8*150%</f>
        <v>1901314.1899146191</v>
      </c>
    </row>
    <row r="9" spans="1:34" x14ac:dyDescent="0.3">
      <c r="A9" s="119"/>
      <c r="B9" s="231"/>
      <c r="C9" s="128">
        <v>2</v>
      </c>
      <c r="D9" s="129" t="s">
        <v>45</v>
      </c>
      <c r="E9" s="130">
        <v>577881.46254245657</v>
      </c>
      <c r="F9" s="131">
        <f t="shared" ref="F9:F20" si="0">IF(E9&lt;600000,600000-E9,0)</f>
        <v>22118.537457543425</v>
      </c>
      <c r="G9" s="131">
        <f t="shared" ref="G9:G19" si="1">IF(E9&gt;600000,E9-600000,0)</f>
        <v>0</v>
      </c>
      <c r="H9" s="132">
        <f t="shared" ref="H9:H20" si="2">IF(E9&gt;600000,(E9-600000)/$G$39,0)</f>
        <v>0</v>
      </c>
      <c r="I9" s="131">
        <f t="shared" ref="I9:I20" si="3">IF(E9&lt;600000,F9,-H9*$F$39)</f>
        <v>22118.537457543425</v>
      </c>
      <c r="J9" s="133">
        <f t="shared" ref="J9:J34" si="4">E9+I9</f>
        <v>600000</v>
      </c>
      <c r="K9" s="134">
        <f t="shared" ref="K9:K20" si="5">J9/$E$39</f>
        <v>8.655510924856058E-3</v>
      </c>
      <c r="L9" s="89"/>
      <c r="M9" s="95">
        <v>900000</v>
      </c>
      <c r="N9" s="96" t="s">
        <v>44</v>
      </c>
      <c r="O9" s="97" t="s">
        <v>44</v>
      </c>
      <c r="P9" s="127">
        <f t="shared" ref="P9:P34" si="6">J9*150%</f>
        <v>900000</v>
      </c>
    </row>
    <row r="10" spans="1:34" x14ac:dyDescent="0.3">
      <c r="A10" s="119"/>
      <c r="B10" s="231"/>
      <c r="C10" s="128">
        <v>3</v>
      </c>
      <c r="D10" s="129" t="s">
        <v>61</v>
      </c>
      <c r="E10" s="130">
        <v>17334660.308587611</v>
      </c>
      <c r="F10" s="131">
        <f t="shared" si="0"/>
        <v>0</v>
      </c>
      <c r="G10" s="131">
        <f t="shared" si="1"/>
        <v>16734660.308587611</v>
      </c>
      <c r="H10" s="132">
        <f t="shared" si="2"/>
        <v>0.30371440340519879</v>
      </c>
      <c r="I10" s="131">
        <f t="shared" si="3"/>
        <v>-419123.16508914414</v>
      </c>
      <c r="J10" s="133">
        <f t="shared" si="4"/>
        <v>16915537.143498465</v>
      </c>
      <c r="K10" s="134">
        <f t="shared" si="5"/>
        <v>0.24402102757559901</v>
      </c>
      <c r="L10" s="89"/>
      <c r="M10" s="95">
        <v>1500000</v>
      </c>
      <c r="N10" s="96">
        <v>0.40760000000000002</v>
      </c>
      <c r="O10" s="97">
        <f>J10*N10</f>
        <v>6894772.9396899752</v>
      </c>
      <c r="P10" s="127">
        <f t="shared" si="6"/>
        <v>25373305.715247698</v>
      </c>
      <c r="V10" s="127"/>
    </row>
    <row r="11" spans="1:34" x14ac:dyDescent="0.3">
      <c r="A11" s="119"/>
      <c r="B11" s="231"/>
      <c r="C11" s="128">
        <v>4</v>
      </c>
      <c r="D11" s="129" t="s">
        <v>46</v>
      </c>
      <c r="E11" s="130">
        <v>1223814.1638637716</v>
      </c>
      <c r="F11" s="131">
        <f t="shared" si="0"/>
        <v>0</v>
      </c>
      <c r="G11" s="131">
        <f t="shared" si="1"/>
        <v>623814.1638637716</v>
      </c>
      <c r="H11" s="132">
        <f t="shared" si="2"/>
        <v>1.1321493422628587E-2</v>
      </c>
      <c r="I11" s="131">
        <f t="shared" si="3"/>
        <v>-15623.559843150979</v>
      </c>
      <c r="J11" s="133">
        <f t="shared" si="4"/>
        <v>1208190.6040206207</v>
      </c>
      <c r="K11" s="134">
        <f t="shared" si="5"/>
        <v>1.7429178287348204E-2</v>
      </c>
      <c r="L11" s="89"/>
      <c r="M11" s="95">
        <v>1500000</v>
      </c>
      <c r="N11" s="96" t="s">
        <v>44</v>
      </c>
      <c r="O11" s="97" t="s">
        <v>44</v>
      </c>
      <c r="P11" s="127">
        <f t="shared" si="6"/>
        <v>1812285.906030931</v>
      </c>
    </row>
    <row r="12" spans="1:34" x14ac:dyDescent="0.3">
      <c r="A12" s="119"/>
      <c r="B12" s="231"/>
      <c r="C12" s="128">
        <v>5</v>
      </c>
      <c r="D12" s="129" t="s">
        <v>47</v>
      </c>
      <c r="E12" s="130">
        <v>921225.22166801477</v>
      </c>
      <c r="F12" s="131">
        <f t="shared" si="0"/>
        <v>0</v>
      </c>
      <c r="G12" s="131">
        <f t="shared" si="1"/>
        <v>321225.22166801477</v>
      </c>
      <c r="H12" s="132">
        <f t="shared" si="2"/>
        <v>5.8298599887049562E-3</v>
      </c>
      <c r="I12" s="131">
        <f t="shared" si="3"/>
        <v>-8045.1547345046274</v>
      </c>
      <c r="J12" s="133">
        <f t="shared" si="4"/>
        <v>913180.06693351013</v>
      </c>
      <c r="K12" s="134">
        <f t="shared" si="5"/>
        <v>1.3173400076172972E-2</v>
      </c>
      <c r="L12" s="89"/>
      <c r="M12" s="95">
        <v>1355683</v>
      </c>
      <c r="N12" s="96" t="s">
        <v>44</v>
      </c>
      <c r="O12" s="97" t="s">
        <v>44</v>
      </c>
      <c r="P12" s="127">
        <f t="shared" si="6"/>
        <v>1369770.1004002653</v>
      </c>
    </row>
    <row r="13" spans="1:34" x14ac:dyDescent="0.3">
      <c r="A13" s="119"/>
      <c r="B13" s="231"/>
      <c r="C13" s="128">
        <v>6</v>
      </c>
      <c r="D13" s="129" t="s">
        <v>48</v>
      </c>
      <c r="E13" s="130">
        <v>15682670.675970837</v>
      </c>
      <c r="F13" s="131">
        <f t="shared" si="0"/>
        <v>0</v>
      </c>
      <c r="G13" s="131">
        <f t="shared" si="1"/>
        <v>15082670.675970837</v>
      </c>
      <c r="H13" s="132">
        <f t="shared" si="2"/>
        <v>0.27373273443494156</v>
      </c>
      <c r="I13" s="131">
        <f t="shared" si="3"/>
        <v>-377748.72959125199</v>
      </c>
      <c r="J13" s="133">
        <f t="shared" si="4"/>
        <v>15304921.946379585</v>
      </c>
      <c r="K13" s="134">
        <f t="shared" si="5"/>
        <v>0.22078653185159625</v>
      </c>
      <c r="L13" s="89"/>
      <c r="M13" s="95">
        <v>1500000</v>
      </c>
      <c r="N13" s="96">
        <v>0.41920000000000002</v>
      </c>
      <c r="O13" s="97">
        <f>J13*N13</f>
        <v>6415823.2799223224</v>
      </c>
      <c r="P13" s="127">
        <f t="shared" si="6"/>
        <v>22957382.919569377</v>
      </c>
      <c r="V13" s="127"/>
    </row>
    <row r="14" spans="1:34" x14ac:dyDescent="0.3">
      <c r="A14" s="119"/>
      <c r="B14" s="231"/>
      <c r="C14" s="128">
        <v>7</v>
      </c>
      <c r="D14" s="129" t="s">
        <v>62</v>
      </c>
      <c r="E14" s="130">
        <v>4568702.9343451653</v>
      </c>
      <c r="F14" s="131">
        <f t="shared" si="0"/>
        <v>0</v>
      </c>
      <c r="G14" s="131">
        <f t="shared" si="1"/>
        <v>3968702.9343451653</v>
      </c>
      <c r="H14" s="132">
        <f t="shared" si="2"/>
        <v>7.2027290770793923E-2</v>
      </c>
      <c r="I14" s="131">
        <f t="shared" si="3"/>
        <v>-99397.018192698946</v>
      </c>
      <c r="J14" s="133">
        <f t="shared" si="4"/>
        <v>4469305.9161524661</v>
      </c>
      <c r="K14" s="134">
        <f t="shared" si="5"/>
        <v>6.4473543639635811E-2</v>
      </c>
      <c r="L14" s="89"/>
      <c r="M14" s="95">
        <v>1500000</v>
      </c>
      <c r="N14" s="96">
        <v>0.36859999999999998</v>
      </c>
      <c r="O14" s="97">
        <f>J14*N14</f>
        <v>1647386.1606937989</v>
      </c>
      <c r="P14" s="127">
        <f t="shared" si="6"/>
        <v>6703958.8742286991</v>
      </c>
      <c r="V14" s="127"/>
    </row>
    <row r="15" spans="1:34" x14ac:dyDescent="0.3">
      <c r="A15" s="119"/>
      <c r="B15" s="231"/>
      <c r="C15" s="128">
        <v>8</v>
      </c>
      <c r="D15" s="129" t="s">
        <v>49</v>
      </c>
      <c r="E15" s="130">
        <v>2130959.8314360771</v>
      </c>
      <c r="F15" s="131">
        <f t="shared" si="0"/>
        <v>0</v>
      </c>
      <c r="G15" s="131">
        <f t="shared" si="1"/>
        <v>1530959.8314360771</v>
      </c>
      <c r="H15" s="132">
        <f t="shared" si="2"/>
        <v>2.7785120418806711E-2</v>
      </c>
      <c r="I15" s="131">
        <f t="shared" si="3"/>
        <v>-38343.218108021865</v>
      </c>
      <c r="J15" s="133">
        <f t="shared" si="4"/>
        <v>2092616.6133280552</v>
      </c>
      <c r="K15" s="134">
        <f t="shared" si="5"/>
        <v>3.018777659699378E-2</v>
      </c>
      <c r="L15" s="89"/>
      <c r="M15" s="95">
        <v>1500000</v>
      </c>
      <c r="N15" s="96" t="s">
        <v>44</v>
      </c>
      <c r="O15" s="97" t="s">
        <v>44</v>
      </c>
      <c r="P15" s="127">
        <f t="shared" si="6"/>
        <v>3138924.9199920828</v>
      </c>
    </row>
    <row r="16" spans="1:34" x14ac:dyDescent="0.3">
      <c r="A16" s="119"/>
      <c r="B16" s="231"/>
      <c r="C16" s="128">
        <v>9</v>
      </c>
      <c r="D16" s="129" t="s">
        <v>63</v>
      </c>
      <c r="E16" s="130">
        <v>5699888.6767241927</v>
      </c>
      <c r="F16" s="131">
        <f t="shared" si="0"/>
        <v>0</v>
      </c>
      <c r="G16" s="131">
        <f t="shared" si="1"/>
        <v>5099888.6767241927</v>
      </c>
      <c r="H16" s="132">
        <f t="shared" si="2"/>
        <v>9.2556981637050229E-2</v>
      </c>
      <c r="I16" s="131">
        <f t="shared" si="3"/>
        <v>-127727.80829581906</v>
      </c>
      <c r="J16" s="133">
        <f t="shared" si="4"/>
        <v>5572160.8684283737</v>
      </c>
      <c r="K16" s="134">
        <f t="shared" si="5"/>
        <v>8.0383165452895353E-2</v>
      </c>
      <c r="L16" s="89"/>
      <c r="M16" s="95">
        <v>1500000</v>
      </c>
      <c r="N16" s="96">
        <v>0.43169999999999997</v>
      </c>
      <c r="O16" s="97">
        <f>J16*N16</f>
        <v>2405501.8469005288</v>
      </c>
      <c r="P16" s="127">
        <f t="shared" si="6"/>
        <v>8358241.3026425606</v>
      </c>
      <c r="V16" s="127"/>
    </row>
    <row r="17" spans="1:16" x14ac:dyDescent="0.3">
      <c r="A17" s="119"/>
      <c r="B17" s="231"/>
      <c r="C17" s="128">
        <v>10</v>
      </c>
      <c r="D17" s="129" t="s">
        <v>64</v>
      </c>
      <c r="E17" s="130">
        <v>1428392.5150723821</v>
      </c>
      <c r="F17" s="131">
        <f t="shared" si="0"/>
        <v>0</v>
      </c>
      <c r="G17" s="131">
        <f t="shared" si="1"/>
        <v>828392.51507238206</v>
      </c>
      <c r="H17" s="132">
        <f t="shared" si="2"/>
        <v>1.5034349897824428E-2</v>
      </c>
      <c r="I17" s="131">
        <f t="shared" si="3"/>
        <v>-20747.268629953836</v>
      </c>
      <c r="J17" s="133">
        <f t="shared" si="4"/>
        <v>1407645.2464424283</v>
      </c>
      <c r="K17" s="134">
        <f t="shared" si="5"/>
        <v>2.0306481348173561E-2</v>
      </c>
      <c r="L17" s="89"/>
      <c r="M17" s="95">
        <v>1500000</v>
      </c>
      <c r="N17" s="96" t="s">
        <v>44</v>
      </c>
      <c r="O17" s="97" t="s">
        <v>44</v>
      </c>
      <c r="P17" s="127">
        <f t="shared" si="6"/>
        <v>2111467.8696636427</v>
      </c>
    </row>
    <row r="18" spans="1:16" x14ac:dyDescent="0.3">
      <c r="A18" s="119"/>
      <c r="B18" s="231"/>
      <c r="C18" s="128">
        <v>11</v>
      </c>
      <c r="D18" s="129" t="s">
        <v>50</v>
      </c>
      <c r="E18" s="130">
        <v>6480110.665521495</v>
      </c>
      <c r="F18" s="131">
        <f t="shared" si="0"/>
        <v>0</v>
      </c>
      <c r="G18" s="131">
        <f t="shared" si="1"/>
        <v>5880110.665521495</v>
      </c>
      <c r="H18" s="132">
        <f t="shared" si="2"/>
        <v>0.10671709313507621</v>
      </c>
      <c r="I18" s="131">
        <f t="shared" si="3"/>
        <v>-147268.63573938917</v>
      </c>
      <c r="J18" s="133">
        <f t="shared" si="4"/>
        <v>6332842.0297821062</v>
      </c>
      <c r="K18" s="134">
        <f t="shared" si="5"/>
        <v>9.1356638956944389E-2</v>
      </c>
      <c r="L18" s="89"/>
      <c r="M18" s="95">
        <v>1500000</v>
      </c>
      <c r="N18" s="96" t="s">
        <v>44</v>
      </c>
      <c r="O18" s="97" t="s">
        <v>44</v>
      </c>
      <c r="P18" s="127">
        <f t="shared" si="6"/>
        <v>9499263.0446731597</v>
      </c>
    </row>
    <row r="19" spans="1:16" x14ac:dyDescent="0.3">
      <c r="A19" s="119"/>
      <c r="B19" s="231"/>
      <c r="C19" s="128">
        <v>12</v>
      </c>
      <c r="D19" s="129" t="s">
        <v>65</v>
      </c>
      <c r="E19" s="130">
        <v>883756.81821680814</v>
      </c>
      <c r="F19" s="131">
        <f t="shared" si="0"/>
        <v>0</v>
      </c>
      <c r="G19" s="131">
        <f t="shared" si="1"/>
        <v>283756.81821680814</v>
      </c>
      <c r="H19" s="132">
        <f t="shared" si="2"/>
        <v>5.149852531673463E-3</v>
      </c>
      <c r="I19" s="131">
        <f t="shared" si="3"/>
        <v>-7106.7505150148481</v>
      </c>
      <c r="J19" s="133">
        <f t="shared" si="4"/>
        <v>876650.06770179328</v>
      </c>
      <c r="K19" s="134">
        <f t="shared" si="5"/>
        <v>1.2646423730447791E-2</v>
      </c>
      <c r="L19" s="89"/>
      <c r="M19" s="95">
        <v>1301492</v>
      </c>
      <c r="N19" s="96" t="s">
        <v>44</v>
      </c>
      <c r="O19" s="97" t="s">
        <v>44</v>
      </c>
      <c r="P19" s="127">
        <f t="shared" si="6"/>
        <v>1314975.1015526899</v>
      </c>
    </row>
    <row r="20" spans="1:16" ht="16.2" thickBot="1" x14ac:dyDescent="0.35">
      <c r="A20" s="119"/>
      <c r="B20" s="232"/>
      <c r="C20" s="135">
        <v>13</v>
      </c>
      <c r="D20" s="136" t="s">
        <v>66</v>
      </c>
      <c r="E20" s="137">
        <v>2540887.3962076162</v>
      </c>
      <c r="F20" s="138">
        <f t="shared" si="0"/>
        <v>0</v>
      </c>
      <c r="G20" s="138">
        <f>IF(E20&gt;600000,E20-600000,0)</f>
        <v>1940887.3962076162</v>
      </c>
      <c r="H20" s="139">
        <f t="shared" si="2"/>
        <v>3.5224823614338249E-2</v>
      </c>
      <c r="I20" s="138">
        <f t="shared" si="3"/>
        <v>-48609.942095013466</v>
      </c>
      <c r="J20" s="140">
        <f t="shared" si="4"/>
        <v>2492277.4541126029</v>
      </c>
      <c r="K20" s="141">
        <f t="shared" si="5"/>
        <v>3.5953224553073461E-2</v>
      </c>
      <c r="L20" s="89"/>
      <c r="M20" s="98">
        <v>1500000</v>
      </c>
      <c r="N20" s="99" t="s">
        <v>44</v>
      </c>
      <c r="O20" s="100" t="s">
        <v>44</v>
      </c>
      <c r="P20" s="127">
        <f t="shared" si="6"/>
        <v>3738416.1811689045</v>
      </c>
    </row>
    <row r="21" spans="1:16" ht="16.2" thickBot="1" x14ac:dyDescent="0.35">
      <c r="A21" s="112"/>
      <c r="B21" s="142"/>
      <c r="C21" s="143"/>
      <c r="D21" s="144"/>
      <c r="E21" s="145"/>
      <c r="F21" s="146"/>
      <c r="G21" s="147"/>
      <c r="H21" s="148"/>
      <c r="I21" s="149"/>
      <c r="J21" s="150"/>
      <c r="K21" s="151"/>
      <c r="L21" s="89"/>
      <c r="M21" s="101"/>
      <c r="N21" s="152"/>
      <c r="O21" s="152"/>
      <c r="P21" s="127">
        <f t="shared" si="6"/>
        <v>0</v>
      </c>
    </row>
    <row r="22" spans="1:16" x14ac:dyDescent="0.3">
      <c r="A22" s="119"/>
      <c r="B22" s="230" t="s">
        <v>51</v>
      </c>
      <c r="C22" s="153">
        <v>1</v>
      </c>
      <c r="D22" s="154" t="s">
        <v>43</v>
      </c>
      <c r="E22" s="122">
        <v>713282.16679835902</v>
      </c>
      <c r="F22" s="123">
        <f>IF(E22&lt;600000,600000-E22,0)</f>
        <v>0</v>
      </c>
      <c r="G22" s="123">
        <f>IF(E22&gt;600000,E22-600000,0)</f>
        <v>113282.16679835902</v>
      </c>
      <c r="H22" s="124">
        <f>IF(E22&gt;600000,(E22-600000)/$G$39,0)</f>
        <v>2.0559380992009879E-3</v>
      </c>
      <c r="I22" s="123">
        <f>IF(E22&lt;600000,F22,-H22*$F$39)</f>
        <v>-2837.1762211581927</v>
      </c>
      <c r="J22" s="125">
        <f t="shared" si="4"/>
        <v>710444.99057720078</v>
      </c>
      <c r="K22" s="126">
        <f>J22/$E$39</f>
        <v>1.0248773962417034E-2</v>
      </c>
      <c r="L22" s="89"/>
      <c r="M22" s="92">
        <v>1054931</v>
      </c>
      <c r="N22"/>
      <c r="O22"/>
      <c r="P22" s="127">
        <f t="shared" si="6"/>
        <v>1065667.4858658011</v>
      </c>
    </row>
    <row r="23" spans="1:16" x14ac:dyDescent="0.3">
      <c r="A23" s="119"/>
      <c r="B23" s="231"/>
      <c r="C23" s="155">
        <v>2</v>
      </c>
      <c r="D23" s="156" t="s">
        <v>45</v>
      </c>
      <c r="E23" s="130">
        <v>504441.70437472145</v>
      </c>
      <c r="F23" s="131">
        <f t="shared" ref="F23:F34" si="7">IF(E23&lt;600000,600000-E23,0)</f>
        <v>95558.295625278552</v>
      </c>
      <c r="G23" s="131">
        <f t="shared" ref="G23:G34" si="8">IF(E23&gt;600000,E23-600000,0)</f>
        <v>0</v>
      </c>
      <c r="H23" s="132">
        <f t="shared" ref="H23:H34" si="9">IF(E23&gt;600000,(E23-600000)/$G$39,0)</f>
        <v>0</v>
      </c>
      <c r="I23" s="131">
        <f t="shared" ref="I23:I34" si="10">IF(E23&lt;600000,F23,-H23*$F$39)</f>
        <v>95558.295625278552</v>
      </c>
      <c r="J23" s="133">
        <f t="shared" si="4"/>
        <v>600000</v>
      </c>
      <c r="K23" s="134">
        <f t="shared" ref="K23:K34" si="11">J23/$E$39</f>
        <v>8.655510924856058E-3</v>
      </c>
      <c r="L23" s="89"/>
      <c r="M23" s="95">
        <v>900000</v>
      </c>
      <c r="N23"/>
      <c r="O23"/>
      <c r="P23" s="127">
        <f t="shared" si="6"/>
        <v>900000</v>
      </c>
    </row>
    <row r="24" spans="1:16" x14ac:dyDescent="0.3">
      <c r="A24" s="119"/>
      <c r="B24" s="231"/>
      <c r="C24" s="155">
        <v>3</v>
      </c>
      <c r="D24" s="156" t="s">
        <v>61</v>
      </c>
      <c r="E24" s="130">
        <v>609794.31385332695</v>
      </c>
      <c r="F24" s="131">
        <f t="shared" si="7"/>
        <v>0</v>
      </c>
      <c r="G24" s="131">
        <f t="shared" si="8"/>
        <v>9794.3138533269521</v>
      </c>
      <c r="H24" s="132">
        <f t="shared" si="9"/>
        <v>1.7775527760189883E-4</v>
      </c>
      <c r="I24" s="131">
        <f t="shared" si="10"/>
        <v>-245.3006960635046</v>
      </c>
      <c r="J24" s="133">
        <f t="shared" si="4"/>
        <v>609549.0131572634</v>
      </c>
      <c r="K24" s="134">
        <f t="shared" si="11"/>
        <v>8.7932635710298718E-3</v>
      </c>
      <c r="L24" s="89"/>
      <c r="M24" s="95">
        <v>905254</v>
      </c>
      <c r="N24"/>
      <c r="O24"/>
      <c r="P24" s="127">
        <f t="shared" si="6"/>
        <v>914323.5197358951</v>
      </c>
    </row>
    <row r="25" spans="1:16" x14ac:dyDescent="0.3">
      <c r="A25" s="119"/>
      <c r="B25" s="231"/>
      <c r="C25" s="155">
        <v>4</v>
      </c>
      <c r="D25" s="156" t="s">
        <v>46</v>
      </c>
      <c r="E25" s="130">
        <v>1617268.986665206</v>
      </c>
      <c r="F25" s="131">
        <f t="shared" si="7"/>
        <v>0</v>
      </c>
      <c r="G25" s="131">
        <f t="shared" si="8"/>
        <v>1017268.986665206</v>
      </c>
      <c r="H25" s="132">
        <f t="shared" si="9"/>
        <v>1.8462235724563091E-2</v>
      </c>
      <c r="I25" s="131">
        <f t="shared" si="10"/>
        <v>-25477.720466148621</v>
      </c>
      <c r="J25" s="133">
        <f t="shared" si="4"/>
        <v>1591791.2661990575</v>
      </c>
      <c r="K25" s="134">
        <f t="shared" si="11"/>
        <v>2.2962944491127332E-2</v>
      </c>
      <c r="L25" s="89"/>
      <c r="M25" s="95">
        <v>1500000</v>
      </c>
      <c r="N25"/>
      <c r="O25"/>
      <c r="P25" s="127">
        <f t="shared" si="6"/>
        <v>2387686.899298586</v>
      </c>
    </row>
    <row r="26" spans="1:16" x14ac:dyDescent="0.3">
      <c r="A26" s="119"/>
      <c r="B26" s="231"/>
      <c r="C26" s="155">
        <v>5</v>
      </c>
      <c r="D26" s="156" t="s">
        <v>47</v>
      </c>
      <c r="E26" s="130">
        <v>1068714.0688788609</v>
      </c>
      <c r="F26" s="131">
        <f t="shared" si="7"/>
        <v>0</v>
      </c>
      <c r="G26" s="131">
        <f t="shared" si="8"/>
        <v>468714.06887886091</v>
      </c>
      <c r="H26" s="132">
        <f t="shared" si="9"/>
        <v>8.506609107811711E-3</v>
      </c>
      <c r="I26" s="131">
        <f t="shared" si="10"/>
        <v>-11739.044620434212</v>
      </c>
      <c r="J26" s="133">
        <f t="shared" si="4"/>
        <v>1056975.0242584266</v>
      </c>
      <c r="K26" s="134">
        <f t="shared" si="11"/>
        <v>1.5247764782948016E-2</v>
      </c>
      <c r="L26" s="89"/>
      <c r="M26" s="95">
        <v>1500000</v>
      </c>
      <c r="N26"/>
      <c r="O26"/>
      <c r="P26" s="127">
        <f t="shared" si="6"/>
        <v>1585462.5363876401</v>
      </c>
    </row>
    <row r="27" spans="1:16" x14ac:dyDescent="0.3">
      <c r="A27" s="119"/>
      <c r="B27" s="231"/>
      <c r="C27" s="155">
        <v>6</v>
      </c>
      <c r="D27" s="156" t="s">
        <v>48</v>
      </c>
      <c r="E27" s="130">
        <v>503121.81249856472</v>
      </c>
      <c r="F27" s="131">
        <f t="shared" si="7"/>
        <v>96878.187501435285</v>
      </c>
      <c r="G27" s="131">
        <f t="shared" si="8"/>
        <v>0</v>
      </c>
      <c r="H27" s="132">
        <f t="shared" si="9"/>
        <v>0</v>
      </c>
      <c r="I27" s="131">
        <f t="shared" si="10"/>
        <v>96878.187501435285</v>
      </c>
      <c r="J27" s="133">
        <f t="shared" si="4"/>
        <v>600000</v>
      </c>
      <c r="K27" s="134">
        <f t="shared" si="11"/>
        <v>8.655510924856058E-3</v>
      </c>
      <c r="L27" s="89"/>
      <c r="M27" s="95">
        <v>900000</v>
      </c>
      <c r="N27"/>
      <c r="O27"/>
      <c r="P27" s="127">
        <f t="shared" si="6"/>
        <v>900000</v>
      </c>
    </row>
    <row r="28" spans="1:16" x14ac:dyDescent="0.3">
      <c r="A28" s="119"/>
      <c r="B28" s="231"/>
      <c r="C28" s="155">
        <v>7</v>
      </c>
      <c r="D28" s="156" t="s">
        <v>62</v>
      </c>
      <c r="E28" s="130">
        <v>248977.31226017364</v>
      </c>
      <c r="F28" s="131">
        <f t="shared" si="7"/>
        <v>351022.68773982639</v>
      </c>
      <c r="G28" s="131">
        <f t="shared" si="8"/>
        <v>0</v>
      </c>
      <c r="H28" s="132">
        <f t="shared" si="9"/>
        <v>0</v>
      </c>
      <c r="I28" s="131">
        <f t="shared" si="10"/>
        <v>351022.68773982639</v>
      </c>
      <c r="J28" s="133">
        <f t="shared" si="4"/>
        <v>600000</v>
      </c>
      <c r="K28" s="134">
        <f t="shared" si="11"/>
        <v>8.655510924856058E-3</v>
      </c>
      <c r="L28" s="89"/>
      <c r="M28" s="95">
        <v>900000</v>
      </c>
      <c r="N28"/>
      <c r="O28"/>
      <c r="P28" s="127">
        <f t="shared" si="6"/>
        <v>900000</v>
      </c>
    </row>
    <row r="29" spans="1:16" x14ac:dyDescent="0.3">
      <c r="A29" s="119"/>
      <c r="B29" s="231"/>
      <c r="C29" s="155">
        <v>8</v>
      </c>
      <c r="D29" s="156" t="s">
        <v>49</v>
      </c>
      <c r="E29" s="130">
        <v>687814.92707372049</v>
      </c>
      <c r="F29" s="131">
        <f t="shared" si="7"/>
        <v>0</v>
      </c>
      <c r="G29" s="131">
        <f t="shared" si="8"/>
        <v>87814.927073720493</v>
      </c>
      <c r="H29" s="132">
        <f t="shared" si="9"/>
        <v>1.593737649552388E-3</v>
      </c>
      <c r="I29" s="131">
        <f t="shared" si="10"/>
        <v>-2199.3437272415385</v>
      </c>
      <c r="J29" s="133">
        <f t="shared" si="4"/>
        <v>685615.58334647899</v>
      </c>
      <c r="K29" s="134">
        <f t="shared" si="11"/>
        <v>9.8905886198450144E-3</v>
      </c>
      <c r="L29" s="89"/>
      <c r="M29" s="95">
        <v>1018097</v>
      </c>
      <c r="N29"/>
      <c r="O29"/>
      <c r="P29" s="127">
        <f t="shared" si="6"/>
        <v>1028423.3750197184</v>
      </c>
    </row>
    <row r="30" spans="1:16" x14ac:dyDescent="0.3">
      <c r="A30" s="119"/>
      <c r="B30" s="231"/>
      <c r="C30" s="155">
        <v>9</v>
      </c>
      <c r="D30" s="156" t="s">
        <v>63</v>
      </c>
      <c r="E30" s="130">
        <v>510868.7683447501</v>
      </c>
      <c r="F30" s="131">
        <f t="shared" si="7"/>
        <v>89131.231655249896</v>
      </c>
      <c r="G30" s="131">
        <f t="shared" si="8"/>
        <v>0</v>
      </c>
      <c r="H30" s="132">
        <f t="shared" si="9"/>
        <v>0</v>
      </c>
      <c r="I30" s="131">
        <f t="shared" si="10"/>
        <v>89131.231655249896</v>
      </c>
      <c r="J30" s="133">
        <f t="shared" si="4"/>
        <v>600000</v>
      </c>
      <c r="K30" s="134">
        <f t="shared" si="11"/>
        <v>8.655510924856058E-3</v>
      </c>
      <c r="L30" s="89"/>
      <c r="M30" s="95">
        <v>900000</v>
      </c>
      <c r="N30"/>
      <c r="O30"/>
      <c r="P30" s="127">
        <f t="shared" si="6"/>
        <v>900000</v>
      </c>
    </row>
    <row r="31" spans="1:16" x14ac:dyDescent="0.3">
      <c r="A31" s="119"/>
      <c r="B31" s="231"/>
      <c r="C31" s="155">
        <v>10</v>
      </c>
      <c r="D31" s="156" t="s">
        <v>64</v>
      </c>
      <c r="E31" s="130">
        <v>666467.95159311406</v>
      </c>
      <c r="F31" s="131">
        <f t="shared" si="7"/>
        <v>0</v>
      </c>
      <c r="G31" s="131">
        <f t="shared" si="8"/>
        <v>66467.951593114063</v>
      </c>
      <c r="H31" s="132">
        <f t="shared" si="9"/>
        <v>1.2063151501981134E-3</v>
      </c>
      <c r="I31" s="131">
        <f t="shared" si="10"/>
        <v>-1664.7041371017347</v>
      </c>
      <c r="J31" s="133">
        <f t="shared" si="4"/>
        <v>664803.24745601229</v>
      </c>
      <c r="K31" s="134">
        <f t="shared" si="11"/>
        <v>9.5903529520588327E-3</v>
      </c>
      <c r="L31" s="89"/>
      <c r="M31" s="95">
        <v>987222</v>
      </c>
      <c r="N31"/>
      <c r="O31"/>
      <c r="P31" s="127">
        <f t="shared" si="6"/>
        <v>997204.87118401844</v>
      </c>
    </row>
    <row r="32" spans="1:16" x14ac:dyDescent="0.3">
      <c r="A32" s="119"/>
      <c r="B32" s="231"/>
      <c r="C32" s="155">
        <v>11</v>
      </c>
      <c r="D32" s="156" t="s">
        <v>50</v>
      </c>
      <c r="E32" s="130">
        <v>956886.42211536714</v>
      </c>
      <c r="F32" s="131">
        <f t="shared" si="7"/>
        <v>0</v>
      </c>
      <c r="G32" s="131">
        <f t="shared" si="8"/>
        <v>356886.42211536714</v>
      </c>
      <c r="H32" s="132">
        <f t="shared" si="9"/>
        <v>6.4770688366206112E-3</v>
      </c>
      <c r="I32" s="131">
        <f t="shared" si="10"/>
        <v>-8938.2971662456985</v>
      </c>
      <c r="J32" s="133">
        <f t="shared" si="4"/>
        <v>947948.12494912138</v>
      </c>
      <c r="K32" s="134">
        <f t="shared" si="11"/>
        <v>1.3674958919489893E-2</v>
      </c>
      <c r="L32" s="89"/>
      <c r="M32" s="95">
        <v>1407261</v>
      </c>
      <c r="N32"/>
      <c r="O32"/>
      <c r="P32" s="127">
        <f t="shared" si="6"/>
        <v>1421922.1874236821</v>
      </c>
    </row>
    <row r="33" spans="1:16" x14ac:dyDescent="0.3">
      <c r="A33" s="119"/>
      <c r="B33" s="231"/>
      <c r="C33" s="155">
        <v>12</v>
      </c>
      <c r="D33" s="156" t="s">
        <v>65</v>
      </c>
      <c r="E33" s="130">
        <v>414634.70624554669</v>
      </c>
      <c r="F33" s="131">
        <f t="shared" si="7"/>
        <v>185365.29375445331</v>
      </c>
      <c r="G33" s="131">
        <f t="shared" si="8"/>
        <v>0</v>
      </c>
      <c r="H33" s="132">
        <f t="shared" si="9"/>
        <v>0</v>
      </c>
      <c r="I33" s="131">
        <f t="shared" si="10"/>
        <v>185365.29375445331</v>
      </c>
      <c r="J33" s="133">
        <f t="shared" si="4"/>
        <v>600000</v>
      </c>
      <c r="K33" s="134">
        <f t="shared" si="11"/>
        <v>8.655510924856058E-3</v>
      </c>
      <c r="L33" s="89"/>
      <c r="M33" s="95">
        <v>900000</v>
      </c>
      <c r="N33"/>
      <c r="O33"/>
      <c r="P33" s="127">
        <f t="shared" si="6"/>
        <v>900000</v>
      </c>
    </row>
    <row r="34" spans="1:16" ht="16.2" thickBot="1" x14ac:dyDescent="0.35">
      <c r="A34" s="119"/>
      <c r="B34" s="232"/>
      <c r="C34" s="157">
        <v>13</v>
      </c>
      <c r="D34" s="158" t="s">
        <v>66</v>
      </c>
      <c r="E34" s="137">
        <v>60083.161891291958</v>
      </c>
      <c r="F34" s="138">
        <f t="shared" si="7"/>
        <v>539916.83810870803</v>
      </c>
      <c r="G34" s="159">
        <f t="shared" si="8"/>
        <v>0</v>
      </c>
      <c r="H34" s="139">
        <f t="shared" si="9"/>
        <v>0</v>
      </c>
      <c r="I34" s="138">
        <f t="shared" si="10"/>
        <v>539916.83810870803</v>
      </c>
      <c r="J34" s="140">
        <f t="shared" si="4"/>
        <v>600000</v>
      </c>
      <c r="K34" s="141">
        <f t="shared" si="11"/>
        <v>8.655510924856058E-3</v>
      </c>
      <c r="L34" s="89"/>
      <c r="M34" s="98">
        <v>900000</v>
      </c>
      <c r="N34" s="102"/>
      <c r="O34" s="103"/>
      <c r="P34" s="127">
        <f t="shared" si="6"/>
        <v>900000</v>
      </c>
    </row>
    <row r="35" spans="1:16" ht="16.2" thickBot="1" x14ac:dyDescent="0.35">
      <c r="A35" s="160"/>
      <c r="B35" s="110"/>
      <c r="C35" s="161"/>
      <c r="D35" s="161"/>
      <c r="E35" s="162"/>
      <c r="F35" s="162"/>
      <c r="G35" s="162"/>
      <c r="H35" s="161"/>
      <c r="I35" s="162"/>
      <c r="J35" s="163"/>
      <c r="K35" s="161"/>
      <c r="L35" s="89"/>
    </row>
    <row r="36" spans="1:16" x14ac:dyDescent="0.3">
      <c r="A36" s="106"/>
      <c r="B36" s="164"/>
      <c r="C36" s="161"/>
      <c r="D36" s="165" t="s">
        <v>52</v>
      </c>
      <c r="E36" s="123">
        <f>SUM(E8:E20)</f>
        <v>60757641.697406977</v>
      </c>
      <c r="F36" s="123">
        <f>SUM(F8:F20)</f>
        <v>22118.537457543425</v>
      </c>
      <c r="G36" s="123">
        <f>SUM(G8:G20)</f>
        <v>52979760.234864525</v>
      </c>
      <c r="H36" s="166"/>
      <c r="I36" s="123">
        <f>SUM(I8:I20)</f>
        <v>-1304770.9473505579</v>
      </c>
      <c r="J36" s="125">
        <f>SUM(J8:J20)</f>
        <v>59452870.750056431</v>
      </c>
      <c r="K36" s="126">
        <f>J36/$E$39</f>
        <v>0.8576582871519477</v>
      </c>
      <c r="L36" s="167"/>
    </row>
    <row r="37" spans="1:16" ht="16.2" thickBot="1" x14ac:dyDescent="0.35">
      <c r="A37" s="106"/>
      <c r="B37" s="164"/>
      <c r="C37" s="161"/>
      <c r="D37" s="168" t="s">
        <v>53</v>
      </c>
      <c r="E37" s="159">
        <f>SUM(E22:E34)</f>
        <v>8562356.302593004</v>
      </c>
      <c r="F37" s="159">
        <f>SUM(F22:F34)</f>
        <v>1357872.5343849515</v>
      </c>
      <c r="G37" s="159">
        <f>SUM(G22:G34)</f>
        <v>2120228.836977955</v>
      </c>
      <c r="H37" s="169"/>
      <c r="I37" s="159">
        <f>SUM(I22:I34)</f>
        <v>1304770.9473505579</v>
      </c>
      <c r="J37" s="140">
        <f>SUM(J22:J34)</f>
        <v>9867127.24994356</v>
      </c>
      <c r="K37" s="170">
        <f>J37/$E$39</f>
        <v>0.14234171284805233</v>
      </c>
      <c r="L37" s="167"/>
    </row>
    <row r="38" spans="1:16" ht="16.2" thickBot="1" x14ac:dyDescent="0.35">
      <c r="A38" s="106"/>
      <c r="B38" s="164"/>
      <c r="C38" s="161"/>
      <c r="D38" s="171"/>
      <c r="E38" s="145"/>
      <c r="F38" s="145"/>
      <c r="G38" s="145"/>
      <c r="H38" s="172"/>
      <c r="I38" s="173"/>
      <c r="J38" s="174"/>
      <c r="K38" s="175"/>
      <c r="L38" s="167"/>
    </row>
    <row r="39" spans="1:16" x14ac:dyDescent="0.3">
      <c r="A39" s="106"/>
      <c r="B39" s="176"/>
      <c r="C39" s="161"/>
      <c r="D39" s="165" t="s">
        <v>54</v>
      </c>
      <c r="E39" s="123">
        <f>SUM(E36:E37)</f>
        <v>69319997.999999985</v>
      </c>
      <c r="F39" s="123">
        <f>F36+F37</f>
        <v>1379991.0718424949</v>
      </c>
      <c r="G39" s="123">
        <f>G36+G37</f>
        <v>55099989.071842477</v>
      </c>
      <c r="H39" s="177"/>
      <c r="I39" s="178"/>
      <c r="J39" s="179">
        <f>J36+J37</f>
        <v>69319997.999999985</v>
      </c>
      <c r="K39" s="126">
        <f>J39/$E$42</f>
        <v>0.84999999816070371</v>
      </c>
      <c r="L39" s="167"/>
    </row>
    <row r="40" spans="1:16" x14ac:dyDescent="0.3">
      <c r="A40" s="106"/>
      <c r="B40" s="164"/>
      <c r="C40" s="161"/>
      <c r="D40" s="180" t="s">
        <v>55</v>
      </c>
      <c r="E40" s="181">
        <f>E42*0.15</f>
        <v>12232940.85</v>
      </c>
      <c r="F40" s="182"/>
      <c r="G40" s="183"/>
      <c r="H40" s="184"/>
      <c r="I40" s="185"/>
      <c r="J40" s="186">
        <f>E40</f>
        <v>12232940.85</v>
      </c>
      <c r="K40" s="187">
        <f t="shared" ref="K40:K42" si="12">J40/$E$42</f>
        <v>0.15</v>
      </c>
      <c r="L40" s="167"/>
    </row>
    <row r="41" spans="1:16" x14ac:dyDescent="0.3">
      <c r="A41" s="106"/>
      <c r="B41" s="164"/>
      <c r="C41" s="188"/>
      <c r="D41" s="189" t="s">
        <v>56</v>
      </c>
      <c r="E41" s="190">
        <f>E42*0.05</f>
        <v>4077646.95</v>
      </c>
      <c r="F41" s="191"/>
      <c r="G41" s="192"/>
      <c r="H41" s="193"/>
      <c r="I41" s="194"/>
      <c r="J41" s="195">
        <f>E41</f>
        <v>4077646.95</v>
      </c>
      <c r="K41" s="187">
        <f t="shared" si="12"/>
        <v>0.05</v>
      </c>
      <c r="L41" s="167"/>
    </row>
    <row r="42" spans="1:16" ht="16.2" thickBot="1" x14ac:dyDescent="0.35">
      <c r="A42" s="106"/>
      <c r="B42" s="164"/>
      <c r="C42" s="188"/>
      <c r="D42" s="168" t="s">
        <v>30</v>
      </c>
      <c r="E42" s="196">
        <v>81552939</v>
      </c>
      <c r="F42" s="197"/>
      <c r="G42" s="198"/>
      <c r="H42" s="199"/>
      <c r="I42" s="200"/>
      <c r="J42" s="201">
        <f>J39+J40</f>
        <v>81552938.849999979</v>
      </c>
      <c r="K42" s="170">
        <f t="shared" si="12"/>
        <v>0.99999999816070373</v>
      </c>
      <c r="L42" s="167"/>
    </row>
    <row r="43" spans="1:16" x14ac:dyDescent="0.3">
      <c r="A43" s="111"/>
      <c r="B43" s="202"/>
      <c r="C43" s="202"/>
      <c r="D43" s="111"/>
      <c r="E43" s="111"/>
      <c r="F43" s="111"/>
      <c r="G43" s="111"/>
      <c r="H43" s="111"/>
      <c r="I43" s="111"/>
      <c r="J43" s="111"/>
      <c r="K43" s="111"/>
      <c r="L43" s="111"/>
      <c r="O43" s="103"/>
    </row>
    <row r="44" spans="1:16" x14ac:dyDescent="0.3">
      <c r="A44" s="106"/>
      <c r="B44" s="164"/>
      <c r="C44" s="164"/>
      <c r="D44" s="203" t="s">
        <v>57</v>
      </c>
      <c r="F44" s="204"/>
      <c r="G44" s="204"/>
      <c r="H44" s="204"/>
      <c r="I44" s="205"/>
      <c r="J44" s="206"/>
      <c r="K44" s="204"/>
      <c r="L44" s="167"/>
      <c r="O44" s="103"/>
    </row>
    <row r="45" spans="1:16" x14ac:dyDescent="0.3">
      <c r="A45" s="106"/>
      <c r="B45" s="164"/>
      <c r="C45" s="164"/>
      <c r="D45" s="203"/>
      <c r="F45" s="204"/>
      <c r="G45" s="204"/>
      <c r="H45" s="204"/>
      <c r="I45" s="205"/>
      <c r="J45" s="206"/>
      <c r="K45" s="204"/>
      <c r="L45" s="167"/>
      <c r="O45" s="103"/>
    </row>
    <row r="46" spans="1:16" x14ac:dyDescent="0.3">
      <c r="A46" s="207"/>
      <c r="B46" s="164"/>
      <c r="C46" s="164"/>
      <c r="D46" s="217" t="s">
        <v>69</v>
      </c>
      <c r="E46" s="217"/>
      <c r="F46" s="217"/>
      <c r="G46" s="217"/>
      <c r="H46" s="217"/>
      <c r="I46" s="217"/>
      <c r="J46" s="217"/>
      <c r="K46" s="217"/>
      <c r="L46" s="217"/>
      <c r="M46" s="217"/>
      <c r="N46" s="217"/>
      <c r="O46" s="217"/>
    </row>
    <row r="47" spans="1:16" x14ac:dyDescent="0.3">
      <c r="A47" s="207"/>
      <c r="B47" s="164"/>
      <c r="C47" s="164"/>
      <c r="D47" s="217"/>
      <c r="E47" s="217"/>
      <c r="F47" s="217"/>
      <c r="G47" s="217"/>
      <c r="H47" s="217"/>
      <c r="I47" s="217"/>
      <c r="J47" s="217"/>
      <c r="K47" s="217"/>
      <c r="L47" s="217"/>
      <c r="M47" s="217"/>
      <c r="N47" s="217"/>
      <c r="O47" s="217"/>
    </row>
    <row r="48" spans="1:16" x14ac:dyDescent="0.3">
      <c r="A48" s="207"/>
      <c r="B48" s="164"/>
      <c r="C48" s="164"/>
      <c r="D48" s="217"/>
      <c r="E48" s="217"/>
      <c r="F48" s="217"/>
      <c r="G48" s="217"/>
      <c r="H48" s="217"/>
      <c r="I48" s="217"/>
      <c r="J48" s="217"/>
      <c r="K48" s="217"/>
      <c r="L48" s="217"/>
      <c r="M48" s="217"/>
      <c r="N48" s="217"/>
      <c r="O48" s="217"/>
    </row>
    <row r="49" spans="1:15" x14ac:dyDescent="0.3">
      <c r="A49" s="207"/>
      <c r="B49" s="164"/>
      <c r="C49" s="164"/>
      <c r="D49" s="217"/>
      <c r="E49" s="217"/>
      <c r="F49" s="217"/>
      <c r="G49" s="217"/>
      <c r="H49" s="217"/>
      <c r="I49" s="217"/>
      <c r="J49" s="217"/>
      <c r="K49" s="217"/>
      <c r="L49" s="217"/>
      <c r="M49" s="217"/>
      <c r="N49" s="217"/>
      <c r="O49" s="217"/>
    </row>
    <row r="50" spans="1:15" ht="53.4" customHeight="1" x14ac:dyDescent="0.3">
      <c r="D50" s="217"/>
      <c r="E50" s="217"/>
      <c r="F50" s="217"/>
      <c r="G50" s="217"/>
      <c r="H50" s="217"/>
      <c r="I50" s="217"/>
      <c r="J50" s="217"/>
      <c r="K50" s="217"/>
      <c r="L50" s="217"/>
      <c r="M50" s="217"/>
      <c r="N50" s="217"/>
      <c r="O50" s="217"/>
    </row>
    <row r="51" spans="1:15" x14ac:dyDescent="0.3">
      <c r="D51"/>
      <c r="E51"/>
      <c r="F51"/>
      <c r="G51"/>
      <c r="H51"/>
      <c r="I51"/>
      <c r="J51"/>
      <c r="K51"/>
      <c r="L51"/>
      <c r="M51"/>
      <c r="N51"/>
      <c r="O51"/>
    </row>
    <row r="52" spans="1:15" x14ac:dyDescent="0.3">
      <c r="D52"/>
      <c r="E52"/>
      <c r="F52"/>
      <c r="G52"/>
      <c r="H52"/>
      <c r="I52"/>
      <c r="J52"/>
      <c r="K52"/>
      <c r="L52"/>
      <c r="M52"/>
      <c r="N52"/>
      <c r="O52"/>
    </row>
    <row r="53" spans="1:15" x14ac:dyDescent="0.3">
      <c r="D53"/>
      <c r="E53"/>
      <c r="F53"/>
      <c r="G53"/>
      <c r="H53"/>
      <c r="I53"/>
      <c r="J53"/>
      <c r="K53"/>
      <c r="L53"/>
      <c r="M53"/>
      <c r="N53"/>
      <c r="O53"/>
    </row>
    <row r="54" spans="1:15" x14ac:dyDescent="0.3">
      <c r="D54"/>
      <c r="E54"/>
      <c r="F54"/>
      <c r="G54"/>
      <c r="H54"/>
      <c r="I54"/>
      <c r="J54"/>
      <c r="K54"/>
      <c r="L54"/>
      <c r="M54"/>
      <c r="N54"/>
      <c r="O54"/>
    </row>
    <row r="56" spans="1:15" s="104" customFormat="1" ht="14.4" x14ac:dyDescent="0.3"/>
    <row r="57" spans="1:15" s="104" customFormat="1" ht="14.4" x14ac:dyDescent="0.3"/>
    <row r="58" spans="1:15" s="104" customFormat="1" ht="14.4" x14ac:dyDescent="0.3"/>
    <row r="59" spans="1:15" s="104" customFormat="1" ht="14.4" x14ac:dyDescent="0.3"/>
    <row r="60" spans="1:15" s="104" customFormat="1" ht="14.4" x14ac:dyDescent="0.3"/>
    <row r="61" spans="1:15" s="104" customFormat="1" ht="14.4" x14ac:dyDescent="0.3"/>
    <row r="62" spans="1:15" s="104" customFormat="1" ht="14.4" x14ac:dyDescent="0.3"/>
    <row r="63" spans="1:15" s="104" customFormat="1" ht="14.4" x14ac:dyDescent="0.3"/>
    <row r="64" spans="1:15" s="104" customFormat="1" ht="14.4" x14ac:dyDescent="0.3"/>
    <row r="65" s="104" customFormat="1" ht="14.4" x14ac:dyDescent="0.3"/>
    <row r="66" s="104" customFormat="1" ht="14.4" x14ac:dyDescent="0.3"/>
    <row r="67" s="104" customFormat="1" ht="14.4" x14ac:dyDescent="0.3"/>
    <row r="68" s="104" customFormat="1" ht="14.4" x14ac:dyDescent="0.3"/>
    <row r="69" s="104" customFormat="1" ht="14.4" x14ac:dyDescent="0.3"/>
    <row r="70" s="104" customFormat="1" ht="14.4" x14ac:dyDescent="0.3"/>
    <row r="71" s="104" customFormat="1" ht="14.4" x14ac:dyDescent="0.3"/>
    <row r="72" s="104" customFormat="1" ht="14.4" x14ac:dyDescent="0.3"/>
    <row r="73" s="104" customFormat="1" ht="14.4" x14ac:dyDescent="0.3"/>
    <row r="74" s="104" customFormat="1" ht="14.4" x14ac:dyDescent="0.3"/>
    <row r="75" s="104" customFormat="1" ht="14.4" x14ac:dyDescent="0.3"/>
    <row r="76" s="104" customFormat="1" ht="14.4" x14ac:dyDescent="0.3"/>
    <row r="77" s="104" customFormat="1" ht="14.4" x14ac:dyDescent="0.3"/>
    <row r="78" s="104" customFormat="1" ht="14.4" x14ac:dyDescent="0.3"/>
    <row r="79" s="104" customFormat="1" ht="14.4" x14ac:dyDescent="0.3"/>
    <row r="80" s="104" customFormat="1" ht="14.4" x14ac:dyDescent="0.3"/>
    <row r="81" s="104" customFormat="1" ht="14.4" x14ac:dyDescent="0.3"/>
    <row r="82" s="104" customFormat="1" ht="14.4" x14ac:dyDescent="0.3"/>
    <row r="83" s="104" customFormat="1" ht="14.4" x14ac:dyDescent="0.3"/>
    <row r="84" s="104" customFormat="1" ht="14.4" x14ac:dyDescent="0.3"/>
    <row r="85" s="104" customFormat="1" ht="14.4" x14ac:dyDescent="0.3"/>
    <row r="86" s="104" customFormat="1" ht="14.4" x14ac:dyDescent="0.3"/>
    <row r="87" s="104" customFormat="1" ht="14.4" x14ac:dyDescent="0.3"/>
    <row r="88" s="104" customFormat="1" ht="14.4" x14ac:dyDescent="0.3"/>
    <row r="89" s="104" customFormat="1" ht="14.4" x14ac:dyDescent="0.3"/>
    <row r="90" s="104" customFormat="1" ht="14.4" x14ac:dyDescent="0.3"/>
    <row r="91" s="104" customFormat="1" ht="14.4" x14ac:dyDescent="0.3"/>
    <row r="92" s="104" customFormat="1" ht="14.4" x14ac:dyDescent="0.3"/>
    <row r="93" s="104" customFormat="1" ht="14.4" x14ac:dyDescent="0.3"/>
    <row r="94" s="104" customFormat="1" ht="14.4" x14ac:dyDescent="0.3"/>
    <row r="95" s="104" customFormat="1" ht="14.4" x14ac:dyDescent="0.3"/>
    <row r="96" s="104" customFormat="1" ht="14.4" x14ac:dyDescent="0.3"/>
    <row r="97" s="104" customFormat="1" ht="14.4" x14ac:dyDescent="0.3"/>
    <row r="98" s="104" customFormat="1" ht="14.4" x14ac:dyDescent="0.3"/>
    <row r="99" s="104" customFormat="1" ht="14.4" x14ac:dyDescent="0.3"/>
    <row r="100" s="104" customFormat="1" ht="14.4" x14ac:dyDescent="0.3"/>
    <row r="101" s="104" customFormat="1" ht="14.4" x14ac:dyDescent="0.3"/>
    <row r="102" s="104" customFormat="1" ht="14.4" x14ac:dyDescent="0.3"/>
    <row r="103" s="104" customFormat="1" ht="14.4" x14ac:dyDescent="0.3"/>
    <row r="104" s="104" customFormat="1" ht="14.4" x14ac:dyDescent="0.3"/>
    <row r="105" s="104" customFormat="1" ht="14.4" x14ac:dyDescent="0.3"/>
    <row r="106" s="104" customFormat="1" ht="14.4" x14ac:dyDescent="0.3"/>
    <row r="107" s="104" customFormat="1" ht="14.4" x14ac:dyDescent="0.3"/>
    <row r="108" s="104" customFormat="1" ht="14.4" x14ac:dyDescent="0.3"/>
    <row r="109" s="104" customFormat="1" ht="14.4" x14ac:dyDescent="0.3"/>
    <row r="110" s="104" customFormat="1" ht="14.4" x14ac:dyDescent="0.3"/>
    <row r="111" s="104" customFormat="1" ht="14.4" x14ac:dyDescent="0.3"/>
    <row r="112" s="104" customFormat="1" ht="14.4" x14ac:dyDescent="0.3"/>
    <row r="113" s="104" customFormat="1" ht="14.4" x14ac:dyDescent="0.3"/>
    <row r="114" s="104" customFormat="1" ht="14.4" x14ac:dyDescent="0.3"/>
    <row r="115" s="104" customFormat="1" ht="14.4" x14ac:dyDescent="0.3"/>
    <row r="116" s="104" customFormat="1" ht="14.4" x14ac:dyDescent="0.3"/>
    <row r="117" s="104" customFormat="1" ht="14.4" x14ac:dyDescent="0.3"/>
    <row r="118" s="104" customFormat="1" ht="14.4" x14ac:dyDescent="0.3"/>
    <row r="119" s="104" customFormat="1" ht="14.4" x14ac:dyDescent="0.3"/>
    <row r="120" s="104" customFormat="1" ht="14.4" x14ac:dyDescent="0.3"/>
    <row r="121" s="104" customFormat="1" ht="14.4" x14ac:dyDescent="0.3"/>
    <row r="122" s="104" customFormat="1" ht="14.4" x14ac:dyDescent="0.3"/>
    <row r="123" s="104" customFormat="1" ht="14.4" x14ac:dyDescent="0.3"/>
    <row r="124" s="104" customFormat="1" ht="14.4" x14ac:dyDescent="0.3"/>
    <row r="125" s="104" customFormat="1" ht="14.4" x14ac:dyDescent="0.3"/>
    <row r="126" s="104" customFormat="1" ht="14.4" x14ac:dyDescent="0.3"/>
    <row r="127" s="104" customFormat="1" ht="14.4" x14ac:dyDescent="0.3"/>
    <row r="128" s="104" customFormat="1" ht="14.4" x14ac:dyDescent="0.3"/>
    <row r="129" s="104" customFormat="1" ht="14.4" x14ac:dyDescent="0.3"/>
    <row r="130" s="104" customFormat="1" ht="14.4" x14ac:dyDescent="0.3"/>
    <row r="131" s="104" customFormat="1" ht="14.4" x14ac:dyDescent="0.3"/>
    <row r="132" s="104" customFormat="1" ht="14.4" x14ac:dyDescent="0.3"/>
    <row r="133" s="104" customFormat="1" ht="14.4" x14ac:dyDescent="0.3"/>
    <row r="134" s="104" customFormat="1" ht="14.4" x14ac:dyDescent="0.3"/>
    <row r="135" s="104" customFormat="1" ht="14.4" x14ac:dyDescent="0.3"/>
    <row r="136" s="104" customFormat="1" ht="14.4" x14ac:dyDescent="0.3"/>
    <row r="137" s="104" customFormat="1" ht="14.4" x14ac:dyDescent="0.3"/>
    <row r="138" s="104" customFormat="1" ht="14.4" x14ac:dyDescent="0.3"/>
    <row r="139" s="104" customFormat="1" ht="14.4" x14ac:dyDescent="0.3"/>
    <row r="140" s="104" customFormat="1" ht="14.4" x14ac:dyDescent="0.3"/>
    <row r="141" s="104" customFormat="1" ht="14.4" x14ac:dyDescent="0.3"/>
    <row r="142" s="104" customFormat="1" ht="14.4" x14ac:dyDescent="0.3"/>
    <row r="143" s="104" customFormat="1" ht="14.4" x14ac:dyDescent="0.3"/>
    <row r="144" s="104" customFormat="1" ht="14.4" x14ac:dyDescent="0.3"/>
    <row r="145" s="104" customFormat="1" ht="14.4" x14ac:dyDescent="0.3"/>
    <row r="146" s="104" customFormat="1" ht="14.4" x14ac:dyDescent="0.3"/>
    <row r="147" s="104" customFormat="1" ht="14.4" x14ac:dyDescent="0.3"/>
    <row r="148" s="104" customFormat="1" ht="14.4" x14ac:dyDescent="0.3"/>
    <row r="149" s="104" customFormat="1" ht="14.4" x14ac:dyDescent="0.3"/>
    <row r="150" s="104" customFormat="1" ht="14.4" x14ac:dyDescent="0.3"/>
    <row r="151" s="104" customFormat="1" ht="14.4" x14ac:dyDescent="0.3"/>
    <row r="152" s="104" customFormat="1" ht="14.4" x14ac:dyDescent="0.3"/>
    <row r="153" s="104" customFormat="1" ht="14.4" x14ac:dyDescent="0.3"/>
    <row r="154" s="104" customFormat="1" ht="14.4" x14ac:dyDescent="0.3"/>
    <row r="155" s="104" customFormat="1" ht="14.4" x14ac:dyDescent="0.3"/>
    <row r="156" s="104" customFormat="1" ht="14.4" x14ac:dyDescent="0.3"/>
    <row r="157" s="104" customFormat="1" ht="14.4" x14ac:dyDescent="0.3"/>
    <row r="158" s="104" customFormat="1" ht="14.4" x14ac:dyDescent="0.3"/>
    <row r="159" s="104" customFormat="1" ht="14.4" x14ac:dyDescent="0.3"/>
    <row r="160" s="104" customFormat="1" ht="14.4" x14ac:dyDescent="0.3"/>
    <row r="161" s="104" customFormat="1" ht="14.4" x14ac:dyDescent="0.3"/>
    <row r="162" s="104" customFormat="1" ht="14.4" x14ac:dyDescent="0.3"/>
    <row r="163" s="104" customFormat="1" ht="14.4" x14ac:dyDescent="0.3"/>
    <row r="164" s="104" customFormat="1" ht="14.4" x14ac:dyDescent="0.3"/>
    <row r="165" s="104" customFormat="1" ht="14.4" x14ac:dyDescent="0.3"/>
    <row r="166" s="104" customFormat="1" ht="14.4" x14ac:dyDescent="0.3"/>
    <row r="167" s="104" customFormat="1" ht="14.4" x14ac:dyDescent="0.3"/>
    <row r="168" s="104" customFormat="1" ht="14.4" x14ac:dyDescent="0.3"/>
    <row r="169" s="104" customFormat="1" ht="14.4" x14ac:dyDescent="0.3"/>
    <row r="170" s="104" customFormat="1" ht="14.4" x14ac:dyDescent="0.3"/>
    <row r="171" s="104" customFormat="1" ht="14.4" x14ac:dyDescent="0.3"/>
    <row r="172" s="104" customFormat="1" ht="14.4" x14ac:dyDescent="0.3"/>
    <row r="173" s="104" customFormat="1" ht="14.4" x14ac:dyDescent="0.3"/>
    <row r="174" s="104" customFormat="1" ht="14.4" x14ac:dyDescent="0.3"/>
    <row r="175" s="104" customFormat="1" ht="14.4" x14ac:dyDescent="0.3"/>
    <row r="176" s="104" customFormat="1" ht="14.4" x14ac:dyDescent="0.3"/>
    <row r="177" s="104" customFormat="1" ht="14.4" x14ac:dyDescent="0.3"/>
    <row r="178" s="104" customFormat="1" ht="14.4" x14ac:dyDescent="0.3"/>
    <row r="179" s="104" customFormat="1" ht="14.4" x14ac:dyDescent="0.3"/>
    <row r="180" s="104" customFormat="1" ht="14.4" x14ac:dyDescent="0.3"/>
    <row r="181" s="104" customFormat="1" ht="14.4" x14ac:dyDescent="0.3"/>
    <row r="182" s="104" customFormat="1" ht="14.4" x14ac:dyDescent="0.3"/>
    <row r="183" s="104" customFormat="1" ht="14.4" x14ac:dyDescent="0.3"/>
    <row r="184" s="104" customFormat="1" ht="14.4" x14ac:dyDescent="0.3"/>
    <row r="185" s="104" customFormat="1" ht="14.4" x14ac:dyDescent="0.3"/>
    <row r="186" s="104" customFormat="1" ht="14.4" x14ac:dyDescent="0.3"/>
    <row r="187" s="104" customFormat="1" ht="14.4" x14ac:dyDescent="0.3"/>
    <row r="188" s="104" customFormat="1" ht="14.4" x14ac:dyDescent="0.3"/>
    <row r="189" s="104" customFormat="1" ht="14.4" x14ac:dyDescent="0.3"/>
    <row r="190" s="104" customFormat="1" ht="14.4" x14ac:dyDescent="0.3"/>
    <row r="191" s="104" customFormat="1" ht="14.4" x14ac:dyDescent="0.3"/>
    <row r="192" s="104" customFormat="1" ht="14.4" x14ac:dyDescent="0.3"/>
    <row r="193" s="104" customFormat="1" ht="14.4" x14ac:dyDescent="0.3"/>
    <row r="194" s="104" customFormat="1" ht="14.4" x14ac:dyDescent="0.3"/>
    <row r="195" s="104" customFormat="1" ht="14.4" x14ac:dyDescent="0.3"/>
    <row r="196" s="104" customFormat="1" ht="14.4" x14ac:dyDescent="0.3"/>
    <row r="197" s="104" customFormat="1" ht="14.4" x14ac:dyDescent="0.3"/>
    <row r="198" s="104" customFormat="1" ht="14.4" x14ac:dyDescent="0.3"/>
    <row r="199" s="104" customFormat="1" ht="14.4" x14ac:dyDescent="0.3"/>
    <row r="200" s="104" customFormat="1" ht="14.4" x14ac:dyDescent="0.3"/>
    <row r="201" s="104" customFormat="1" ht="14.4" x14ac:dyDescent="0.3"/>
    <row r="202" s="104" customFormat="1" ht="14.4" x14ac:dyDescent="0.3"/>
    <row r="203" s="104" customFormat="1" ht="14.4" x14ac:dyDescent="0.3"/>
    <row r="204" s="104" customFormat="1" ht="14.4" x14ac:dyDescent="0.3"/>
    <row r="205" s="104" customFormat="1" ht="14.4" x14ac:dyDescent="0.3"/>
    <row r="206" s="104" customFormat="1" ht="14.4" x14ac:dyDescent="0.3"/>
    <row r="207" s="104" customFormat="1" ht="14.4" x14ac:dyDescent="0.3"/>
    <row r="208" s="104" customFormat="1" ht="14.4" x14ac:dyDescent="0.3"/>
    <row r="209" s="104" customFormat="1" ht="14.4" x14ac:dyDescent="0.3"/>
    <row r="210" s="104" customFormat="1" ht="14.4" x14ac:dyDescent="0.3"/>
    <row r="211" s="104" customFormat="1" ht="14.4" x14ac:dyDescent="0.3"/>
    <row r="212" s="104" customFormat="1" ht="14.4" x14ac:dyDescent="0.3"/>
    <row r="213" s="104" customFormat="1" ht="14.4" x14ac:dyDescent="0.3"/>
    <row r="214" s="104" customFormat="1" ht="14.4" x14ac:dyDescent="0.3"/>
    <row r="215" s="104" customFormat="1" ht="14.4" x14ac:dyDescent="0.3"/>
    <row r="216" s="104" customFormat="1" ht="14.4" x14ac:dyDescent="0.3"/>
    <row r="217" s="104" customFormat="1" ht="14.4" x14ac:dyDescent="0.3"/>
    <row r="218" s="104" customFormat="1" ht="14.4" x14ac:dyDescent="0.3"/>
    <row r="219" s="104" customFormat="1" ht="14.4" x14ac:dyDescent="0.3"/>
    <row r="220" s="104" customFormat="1" ht="14.4" x14ac:dyDescent="0.3"/>
    <row r="221" s="104" customFormat="1" ht="14.4" x14ac:dyDescent="0.3"/>
    <row r="222" s="104" customFormat="1" ht="14.4" x14ac:dyDescent="0.3"/>
    <row r="223" s="104" customFormat="1" ht="14.4" x14ac:dyDescent="0.3"/>
    <row r="224" s="104" customFormat="1" ht="14.4" x14ac:dyDescent="0.3"/>
    <row r="225" s="104" customFormat="1" ht="14.4" x14ac:dyDescent="0.3"/>
    <row r="226" s="104" customFormat="1" ht="14.4" x14ac:dyDescent="0.3"/>
    <row r="227" s="104" customFormat="1" ht="14.4" x14ac:dyDescent="0.3"/>
    <row r="228" s="104" customFormat="1" ht="14.4" x14ac:dyDescent="0.3"/>
    <row r="229" s="104" customFormat="1" ht="14.4" x14ac:dyDescent="0.3"/>
    <row r="230" s="104" customFormat="1" ht="14.4" x14ac:dyDescent="0.3"/>
    <row r="231" s="104" customFormat="1" ht="14.4" x14ac:dyDescent="0.3"/>
    <row r="232" s="104" customFormat="1" ht="14.4" x14ac:dyDescent="0.3"/>
    <row r="233" s="104" customFormat="1" ht="14.4" x14ac:dyDescent="0.3"/>
    <row r="234" s="104" customFormat="1" ht="14.4" x14ac:dyDescent="0.3"/>
    <row r="235" s="104" customFormat="1" ht="14.4" x14ac:dyDescent="0.3"/>
    <row r="236" s="104" customFormat="1" ht="14.4" x14ac:dyDescent="0.3"/>
    <row r="237" s="104" customFormat="1" ht="14.4" x14ac:dyDescent="0.3"/>
    <row r="238" s="104" customFormat="1" ht="14.4" x14ac:dyDescent="0.3"/>
    <row r="239" s="104" customFormat="1" ht="14.4" x14ac:dyDescent="0.3"/>
    <row r="240" s="104" customFormat="1" ht="14.4" x14ac:dyDescent="0.3"/>
    <row r="241" s="104" customFormat="1" ht="14.4" x14ac:dyDescent="0.3"/>
    <row r="242" s="104" customFormat="1" ht="14.4" x14ac:dyDescent="0.3"/>
    <row r="243" s="104" customFormat="1" ht="14.4" x14ac:dyDescent="0.3"/>
    <row r="244" s="104" customFormat="1" ht="14.4" x14ac:dyDescent="0.3"/>
    <row r="245" s="104" customFormat="1" ht="14.4" x14ac:dyDescent="0.3"/>
    <row r="246" s="104" customFormat="1" ht="14.4" x14ac:dyDescent="0.3"/>
    <row r="247" s="104" customFormat="1" ht="14.4" x14ac:dyDescent="0.3"/>
    <row r="248" s="104" customFormat="1" ht="14.4" x14ac:dyDescent="0.3"/>
    <row r="249" s="104" customFormat="1" ht="14.4" x14ac:dyDescent="0.3"/>
    <row r="250" s="104" customFormat="1" ht="14.4" x14ac:dyDescent="0.3"/>
    <row r="251" s="104" customFormat="1" ht="14.4" x14ac:dyDescent="0.3"/>
    <row r="252" s="104" customFormat="1" ht="14.4" x14ac:dyDescent="0.3"/>
    <row r="253" s="104" customFormat="1" ht="14.4" x14ac:dyDescent="0.3"/>
    <row r="254" s="104" customFormat="1" ht="14.4" x14ac:dyDescent="0.3"/>
    <row r="255" s="104" customFormat="1" ht="14.4" x14ac:dyDescent="0.3"/>
    <row r="256" s="104" customFormat="1" ht="14.4" x14ac:dyDescent="0.3"/>
    <row r="257" s="104" customFormat="1" ht="14.4" x14ac:dyDescent="0.3"/>
    <row r="258" s="104" customFormat="1" ht="14.4" x14ac:dyDescent="0.3"/>
    <row r="259" s="104" customFormat="1" ht="14.4" x14ac:dyDescent="0.3"/>
    <row r="260" s="104" customFormat="1" ht="14.4" x14ac:dyDescent="0.3"/>
    <row r="261" s="104" customFormat="1" ht="14.4" x14ac:dyDescent="0.3"/>
    <row r="262" s="104" customFormat="1" ht="14.4" x14ac:dyDescent="0.3"/>
    <row r="263" s="104" customFormat="1" ht="14.4" x14ac:dyDescent="0.3"/>
    <row r="264" s="104" customFormat="1" ht="14.4" x14ac:dyDescent="0.3"/>
    <row r="265" s="104" customFormat="1" ht="14.4" x14ac:dyDescent="0.3"/>
    <row r="266" s="104" customFormat="1" ht="14.4" x14ac:dyDescent="0.3"/>
    <row r="267" s="104" customFormat="1" ht="14.4" x14ac:dyDescent="0.3"/>
  </sheetData>
  <mergeCells count="7">
    <mergeCell ref="A2:O2"/>
    <mergeCell ref="D46:O50"/>
    <mergeCell ref="C4:K5"/>
    <mergeCell ref="M4:M5"/>
    <mergeCell ref="N4:O5"/>
    <mergeCell ref="B8:B20"/>
    <mergeCell ref="B22:B34"/>
  </mergeCells>
  <pageMargins left="0.2" right="0.2" top="0.25" bottom="0.25" header="0.05" footer="0.3"/>
  <pageSetup scale="6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HTC</vt:lpstr>
      <vt:lpstr>Ceiling and Request Limits</vt:lpstr>
      <vt:lpstr>'Ceiling and Request Limits'!Print_Area</vt:lpstr>
    </vt:vector>
  </TitlesOfParts>
  <Company>TDHCA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sbeaty</dc:creator>
  <cp:lastModifiedBy>TDHCA</cp:lastModifiedBy>
  <cp:lastPrinted>2020-03-05T15:57:03Z</cp:lastPrinted>
  <dcterms:created xsi:type="dcterms:W3CDTF">2017-05-16T15:49:01Z</dcterms:created>
  <dcterms:modified xsi:type="dcterms:W3CDTF">2020-03-05T15:58:20Z</dcterms:modified>
</cp:coreProperties>
</file>