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Q:\webmaster_projects\mf_temp_docs\2022\"/>
    </mc:Choice>
  </mc:AlternateContent>
  <bookViews>
    <workbookView xWindow="0" yWindow="0" windowWidth="15495" windowHeight="5985" firstSheet="2" activeTab="2"/>
  </bookViews>
  <sheets>
    <sheet name="HTC" sheetId="4" state="hidden" r:id="rId1"/>
    <sheet name="9HTC" sheetId="9" r:id="rId2"/>
    <sheet name="Ceiling and Request Limits" sheetId="7" r:id="rId3"/>
    <sheet name="Calculation" sheetId="8" r:id="rId4"/>
  </sheets>
  <externalReferences>
    <externalReference r:id="rId5"/>
  </externalReferences>
  <definedNames>
    <definedName name="_xlnm.Print_Area" localSheetId="2">'Ceiling and Request Limits'!$A$2:$O$54</definedName>
  </definedNames>
  <calcPr calcId="162913"/>
</workbook>
</file>

<file path=xl/calcChain.xml><?xml version="1.0" encoding="utf-8"?>
<calcChain xmlns="http://schemas.openxmlformats.org/spreadsheetml/2006/main">
  <c r="E41" i="7" l="1"/>
  <c r="E40" i="7" l="1"/>
  <c r="E39" i="7"/>
  <c r="B8" i="8" l="1"/>
  <c r="E42" i="7" s="1"/>
  <c r="G29" i="9" l="1"/>
  <c r="M29" i="9" s="1"/>
  <c r="F29" i="9"/>
  <c r="E29" i="9"/>
  <c r="D29" i="9"/>
  <c r="J29" i="9" s="1"/>
  <c r="C29" i="9"/>
  <c r="G28" i="9"/>
  <c r="M28" i="9" s="1"/>
  <c r="F28" i="9"/>
  <c r="E28" i="9"/>
  <c r="J28" i="9" s="1"/>
  <c r="D28" i="9"/>
  <c r="C28" i="9"/>
  <c r="G27" i="9"/>
  <c r="M27" i="9" s="1"/>
  <c r="F27" i="9"/>
  <c r="E27" i="9"/>
  <c r="D27" i="9"/>
  <c r="J27" i="9" s="1"/>
  <c r="C27" i="9"/>
  <c r="G26" i="9"/>
  <c r="M26" i="9" s="1"/>
  <c r="F26" i="9"/>
  <c r="E26" i="9"/>
  <c r="J26" i="9" s="1"/>
  <c r="D26" i="9"/>
  <c r="C26" i="9"/>
  <c r="G25" i="9"/>
  <c r="M25" i="9" s="1"/>
  <c r="F25" i="9"/>
  <c r="E25" i="9"/>
  <c r="D25" i="9"/>
  <c r="J25" i="9" s="1"/>
  <c r="C25" i="9"/>
  <c r="G24" i="9"/>
  <c r="M24" i="9" s="1"/>
  <c r="F24" i="9"/>
  <c r="E24" i="9"/>
  <c r="J24" i="9" s="1"/>
  <c r="D24" i="9"/>
  <c r="C24" i="9"/>
  <c r="G23" i="9"/>
  <c r="M23" i="9" s="1"/>
  <c r="F23" i="9"/>
  <c r="E23" i="9"/>
  <c r="D23" i="9"/>
  <c r="J23" i="9" s="1"/>
  <c r="C23" i="9"/>
  <c r="G22" i="9"/>
  <c r="M22" i="9" s="1"/>
  <c r="F22" i="9"/>
  <c r="E22" i="9"/>
  <c r="J22" i="9" s="1"/>
  <c r="D22" i="9"/>
  <c r="C22" i="9"/>
  <c r="G21" i="9"/>
  <c r="M21" i="9" s="1"/>
  <c r="F21" i="9"/>
  <c r="E21" i="9"/>
  <c r="D21" i="9"/>
  <c r="J21" i="9" s="1"/>
  <c r="C21" i="9"/>
  <c r="G20" i="9"/>
  <c r="M20" i="9" s="1"/>
  <c r="F20" i="9"/>
  <c r="E20" i="9"/>
  <c r="J20" i="9" s="1"/>
  <c r="D20" i="9"/>
  <c r="C20" i="9"/>
  <c r="M19" i="9"/>
  <c r="G19" i="9"/>
  <c r="F19" i="9"/>
  <c r="E19" i="9"/>
  <c r="D19" i="9"/>
  <c r="J19" i="9" s="1"/>
  <c r="C19" i="9"/>
  <c r="G18" i="9"/>
  <c r="M18" i="9" s="1"/>
  <c r="F18" i="9"/>
  <c r="E18" i="9"/>
  <c r="J18" i="9" s="1"/>
  <c r="D18" i="9"/>
  <c r="C18" i="9"/>
  <c r="G17" i="9"/>
  <c r="G30" i="9" s="1"/>
  <c r="F17" i="9"/>
  <c r="F30" i="9" s="1"/>
  <c r="E17" i="9"/>
  <c r="E30" i="9" s="1"/>
  <c r="D17" i="9"/>
  <c r="D30" i="9" s="1"/>
  <c r="C17" i="9"/>
  <c r="C30" i="9" s="1"/>
  <c r="G15" i="9"/>
  <c r="M15" i="9" s="1"/>
  <c r="F15" i="9"/>
  <c r="E15" i="9"/>
  <c r="J15" i="9" s="1"/>
  <c r="D15" i="9"/>
  <c r="C15" i="9"/>
  <c r="G14" i="9"/>
  <c r="M14" i="9" s="1"/>
  <c r="F14" i="9"/>
  <c r="E14" i="9"/>
  <c r="C14" i="9"/>
  <c r="D14" i="9" s="1"/>
  <c r="J14" i="9" s="1"/>
  <c r="M13" i="9"/>
  <c r="G13" i="9"/>
  <c r="F13" i="9"/>
  <c r="E13" i="9"/>
  <c r="D13" i="9"/>
  <c r="J13" i="9" s="1"/>
  <c r="C13" i="9"/>
  <c r="M12" i="9"/>
  <c r="G12" i="9"/>
  <c r="F12" i="9"/>
  <c r="E12" i="9"/>
  <c r="C12" i="9"/>
  <c r="D12" i="9" s="1"/>
  <c r="J12" i="9" s="1"/>
  <c r="G11" i="9"/>
  <c r="M11" i="9" s="1"/>
  <c r="F11" i="9"/>
  <c r="E11" i="9"/>
  <c r="J11" i="9" s="1"/>
  <c r="D11" i="9"/>
  <c r="C11" i="9"/>
  <c r="G10" i="9"/>
  <c r="M10" i="9" s="1"/>
  <c r="F10" i="9"/>
  <c r="E10" i="9"/>
  <c r="C10" i="9"/>
  <c r="D10" i="9" s="1"/>
  <c r="J10" i="9" s="1"/>
  <c r="G9" i="9"/>
  <c r="M9" i="9" s="1"/>
  <c r="F9" i="9"/>
  <c r="E9" i="9"/>
  <c r="D9" i="9"/>
  <c r="J9" i="9" s="1"/>
  <c r="C9" i="9"/>
  <c r="M8" i="9"/>
  <c r="G8" i="9"/>
  <c r="F8" i="9"/>
  <c r="E8" i="9"/>
  <c r="C8" i="9"/>
  <c r="D8" i="9" s="1"/>
  <c r="J8" i="9" s="1"/>
  <c r="G7" i="9"/>
  <c r="M7" i="9" s="1"/>
  <c r="F7" i="9"/>
  <c r="E7" i="9"/>
  <c r="J7" i="9" s="1"/>
  <c r="D7" i="9"/>
  <c r="C7" i="9"/>
  <c r="G6" i="9"/>
  <c r="M6" i="9" s="1"/>
  <c r="F6" i="9"/>
  <c r="E6" i="9"/>
  <c r="C6" i="9"/>
  <c r="D6" i="9" s="1"/>
  <c r="J6" i="9" s="1"/>
  <c r="M5" i="9"/>
  <c r="G5" i="9"/>
  <c r="F5" i="9"/>
  <c r="E5" i="9"/>
  <c r="D5" i="9"/>
  <c r="J5" i="9" s="1"/>
  <c r="C5" i="9"/>
  <c r="M4" i="9"/>
  <c r="G4" i="9"/>
  <c r="F4" i="9"/>
  <c r="E4" i="9"/>
  <c r="C4" i="9"/>
  <c r="D4" i="9" s="1"/>
  <c r="J4" i="9" s="1"/>
  <c r="G3" i="9"/>
  <c r="G16" i="9" s="1"/>
  <c r="G31" i="9" s="1"/>
  <c r="F3" i="9"/>
  <c r="F16" i="9" s="1"/>
  <c r="F31" i="9" s="1"/>
  <c r="E3" i="9"/>
  <c r="J3" i="9" s="1"/>
  <c r="D3" i="9"/>
  <c r="C3" i="9"/>
  <c r="J16" i="9" l="1"/>
  <c r="J31" i="9"/>
  <c r="K25" i="9" s="1"/>
  <c r="L25" i="9" s="1"/>
  <c r="K3" i="9"/>
  <c r="K6" i="9"/>
  <c r="L6" i="9" s="1"/>
  <c r="D16" i="9"/>
  <c r="D31" i="9" s="1"/>
  <c r="K5" i="9"/>
  <c r="L5" i="9" s="1"/>
  <c r="M3" i="9"/>
  <c r="E16" i="9"/>
  <c r="E31" i="9" s="1"/>
  <c r="C16" i="9"/>
  <c r="C31" i="9" s="1"/>
  <c r="J17" i="9"/>
  <c r="M17" i="9"/>
  <c r="E57" i="7"/>
  <c r="B10" i="8" l="1"/>
  <c r="B12" i="8" s="1"/>
  <c r="K7" i="9"/>
  <c r="L7" i="9" s="1"/>
  <c r="M31" i="9"/>
  <c r="N3" i="9" s="1"/>
  <c r="M16" i="9"/>
  <c r="K29" i="9"/>
  <c r="L29" i="9" s="1"/>
  <c r="K8" i="9"/>
  <c r="L8" i="9" s="1"/>
  <c r="K11" i="9"/>
  <c r="L11" i="9" s="1"/>
  <c r="K27" i="9"/>
  <c r="L27" i="9" s="1"/>
  <c r="K26" i="9"/>
  <c r="L26" i="9" s="1"/>
  <c r="K10" i="9"/>
  <c r="L10" i="9" s="1"/>
  <c r="K23" i="9"/>
  <c r="L23" i="9" s="1"/>
  <c r="L3" i="9"/>
  <c r="K18" i="9"/>
  <c r="L18" i="9" s="1"/>
  <c r="K28" i="9"/>
  <c r="L28" i="9" s="1"/>
  <c r="K9" i="9"/>
  <c r="L9" i="9" s="1"/>
  <c r="K20" i="9"/>
  <c r="L20" i="9" s="1"/>
  <c r="K24" i="9"/>
  <c r="L24" i="9" s="1"/>
  <c r="K21" i="9"/>
  <c r="L21" i="9" s="1"/>
  <c r="K15" i="9"/>
  <c r="L15" i="9" s="1"/>
  <c r="K22" i="9"/>
  <c r="L22" i="9" s="1"/>
  <c r="K13" i="9"/>
  <c r="L13" i="9" s="1"/>
  <c r="K19" i="9"/>
  <c r="L19" i="9" s="1"/>
  <c r="N17" i="9"/>
  <c r="M30" i="9"/>
  <c r="K4" i="9"/>
  <c r="L4" i="9" s="1"/>
  <c r="J30" i="9"/>
  <c r="K17" i="9"/>
  <c r="K12" i="9"/>
  <c r="L12" i="9" s="1"/>
  <c r="K14" i="9"/>
  <c r="L14" i="9" s="1"/>
  <c r="G8" i="7"/>
  <c r="G9" i="7"/>
  <c r="G10" i="7"/>
  <c r="G11" i="7"/>
  <c r="G12" i="7"/>
  <c r="G13" i="7"/>
  <c r="G14" i="7"/>
  <c r="G15" i="7"/>
  <c r="G16" i="7"/>
  <c r="G17" i="7"/>
  <c r="G18" i="7"/>
  <c r="G19" i="7"/>
  <c r="G20" i="7"/>
  <c r="G22" i="7"/>
  <c r="G23" i="7"/>
  <c r="G24" i="7"/>
  <c r="G25" i="7"/>
  <c r="G26" i="7"/>
  <c r="G27" i="7"/>
  <c r="G28" i="7"/>
  <c r="G29" i="7"/>
  <c r="G30" i="7"/>
  <c r="G31" i="7"/>
  <c r="G32" i="7"/>
  <c r="G33" i="7"/>
  <c r="G34" i="7"/>
  <c r="F8" i="7"/>
  <c r="F9" i="7"/>
  <c r="F10" i="7"/>
  <c r="F11" i="7"/>
  <c r="F12" i="7"/>
  <c r="F13" i="7"/>
  <c r="F14" i="7"/>
  <c r="F15" i="7"/>
  <c r="F16" i="7"/>
  <c r="F17" i="7"/>
  <c r="F18" i="7"/>
  <c r="F19" i="7"/>
  <c r="F20" i="7"/>
  <c r="F22" i="7"/>
  <c r="F23" i="7"/>
  <c r="I23" i="7" s="1"/>
  <c r="J23" i="7" s="1"/>
  <c r="F24" i="7"/>
  <c r="F25" i="7"/>
  <c r="F26" i="7"/>
  <c r="F27" i="7"/>
  <c r="I27" i="7" s="1"/>
  <c r="J27" i="7" s="1"/>
  <c r="F28" i="7"/>
  <c r="F29" i="7"/>
  <c r="F30" i="7"/>
  <c r="I30" i="7" s="1"/>
  <c r="J30" i="7" s="1"/>
  <c r="F31" i="7"/>
  <c r="F32" i="7"/>
  <c r="F33" i="7"/>
  <c r="I33" i="7" s="1"/>
  <c r="J33" i="7" s="1"/>
  <c r="F34" i="7"/>
  <c r="I34" i="7" s="1"/>
  <c r="J34" i="7" s="1"/>
  <c r="P21" i="7"/>
  <c r="I28" i="7"/>
  <c r="J28" i="7" s="1"/>
  <c r="D16" i="4"/>
  <c r="J17" i="4"/>
  <c r="J3" i="4"/>
  <c r="J4" i="4"/>
  <c r="J5" i="4"/>
  <c r="J6" i="4"/>
  <c r="J7" i="4"/>
  <c r="J8" i="4"/>
  <c r="J9" i="4"/>
  <c r="J10" i="4"/>
  <c r="J11" i="4"/>
  <c r="J12" i="4"/>
  <c r="J13" i="4"/>
  <c r="J14" i="4"/>
  <c r="J15" i="4"/>
  <c r="J18" i="4"/>
  <c r="J19" i="4"/>
  <c r="J20" i="4"/>
  <c r="J21" i="4"/>
  <c r="J22" i="4"/>
  <c r="J23" i="4"/>
  <c r="J24" i="4"/>
  <c r="J25" i="4"/>
  <c r="J26" i="4"/>
  <c r="J27" i="4"/>
  <c r="J28" i="4"/>
  <c r="J29" i="4"/>
  <c r="M17" i="4"/>
  <c r="M3" i="4"/>
  <c r="M4" i="4"/>
  <c r="M5" i="4"/>
  <c r="M6" i="4"/>
  <c r="M7" i="4"/>
  <c r="M8" i="4"/>
  <c r="M9" i="4"/>
  <c r="M10" i="4"/>
  <c r="M11" i="4"/>
  <c r="M12" i="4"/>
  <c r="M13" i="4"/>
  <c r="M14" i="4"/>
  <c r="M15" i="4"/>
  <c r="M18" i="4"/>
  <c r="M19" i="4"/>
  <c r="M20" i="4"/>
  <c r="M21" i="4"/>
  <c r="M22" i="4"/>
  <c r="M23" i="4"/>
  <c r="M24" i="4"/>
  <c r="M25" i="4"/>
  <c r="M26" i="4"/>
  <c r="M27" i="4"/>
  <c r="M28" i="4"/>
  <c r="M29" i="4"/>
  <c r="G16" i="4"/>
  <c r="G30" i="4"/>
  <c r="G31" i="4"/>
  <c r="F16" i="4"/>
  <c r="F30" i="4"/>
  <c r="E16" i="4"/>
  <c r="E30" i="4"/>
  <c r="D30" i="4"/>
  <c r="C16" i="4"/>
  <c r="C30" i="4"/>
  <c r="J40" i="7"/>
  <c r="J41" i="7"/>
  <c r="K41" i="7" s="1"/>
  <c r="E36" i="7"/>
  <c r="E37" i="7"/>
  <c r="H34" i="7"/>
  <c r="H33" i="7"/>
  <c r="H30" i="7"/>
  <c r="H28" i="7"/>
  <c r="H27" i="7"/>
  <c r="H23" i="7"/>
  <c r="K30" i="7" l="1"/>
  <c r="O3" i="9"/>
  <c r="P19" i="9"/>
  <c r="P13" i="9"/>
  <c r="P8" i="9"/>
  <c r="K31" i="9"/>
  <c r="O17" i="9"/>
  <c r="P20" i="9"/>
  <c r="P12" i="9"/>
  <c r="L17" i="9"/>
  <c r="K30" i="9"/>
  <c r="L16" i="9"/>
  <c r="L31" i="9"/>
  <c r="P21" i="9"/>
  <c r="K16" i="9"/>
  <c r="N19" i="9"/>
  <c r="O19" i="9" s="1"/>
  <c r="N13" i="9"/>
  <c r="O13" i="9" s="1"/>
  <c r="N5" i="9"/>
  <c r="O5" i="9" s="1"/>
  <c r="P5" i="9" s="1"/>
  <c r="N7" i="9"/>
  <c r="O7" i="9" s="1"/>
  <c r="P7" i="9" s="1"/>
  <c r="N20" i="9"/>
  <c r="O20" i="9" s="1"/>
  <c r="N24" i="9"/>
  <c r="O24" i="9" s="1"/>
  <c r="P24" i="9" s="1"/>
  <c r="N4" i="9"/>
  <c r="O4" i="9" s="1"/>
  <c r="P4" i="9" s="1"/>
  <c r="N18" i="9"/>
  <c r="O18" i="9" s="1"/>
  <c r="P18" i="9" s="1"/>
  <c r="N22" i="9"/>
  <c r="O22" i="9" s="1"/>
  <c r="N12" i="9"/>
  <c r="O12" i="9" s="1"/>
  <c r="N6" i="9"/>
  <c r="O6" i="9" s="1"/>
  <c r="P6" i="9" s="1"/>
  <c r="N27" i="9"/>
  <c r="O27" i="9" s="1"/>
  <c r="P27" i="9" s="1"/>
  <c r="N21" i="9"/>
  <c r="O21" i="9" s="1"/>
  <c r="N9" i="9"/>
  <c r="O9" i="9" s="1"/>
  <c r="P9" i="9" s="1"/>
  <c r="N14" i="9"/>
  <c r="O14" i="9" s="1"/>
  <c r="P14" i="9" s="1"/>
  <c r="N26" i="9"/>
  <c r="O26" i="9" s="1"/>
  <c r="P26" i="9" s="1"/>
  <c r="N8" i="9"/>
  <c r="O8" i="9" s="1"/>
  <c r="N11" i="9"/>
  <c r="O11" i="9" s="1"/>
  <c r="P11" i="9" s="1"/>
  <c r="N28" i="9"/>
  <c r="O28" i="9" s="1"/>
  <c r="P28" i="9" s="1"/>
  <c r="N10" i="9"/>
  <c r="O10" i="9" s="1"/>
  <c r="P10" i="9" s="1"/>
  <c r="N29" i="9"/>
  <c r="O29" i="9" s="1"/>
  <c r="P29" i="9" s="1"/>
  <c r="N25" i="9"/>
  <c r="O25" i="9" s="1"/>
  <c r="P25" i="9" s="1"/>
  <c r="N23" i="9"/>
  <c r="O23" i="9" s="1"/>
  <c r="P23" i="9" s="1"/>
  <c r="N15" i="9"/>
  <c r="O15" i="9" s="1"/>
  <c r="P15" i="9" s="1"/>
  <c r="P22" i="9"/>
  <c r="F37" i="7"/>
  <c r="G37" i="7"/>
  <c r="G36" i="7"/>
  <c r="F36" i="7"/>
  <c r="M30" i="4"/>
  <c r="M16" i="4"/>
  <c r="M31" i="4"/>
  <c r="N19" i="4" s="1"/>
  <c r="O19" i="4" s="1"/>
  <c r="F31" i="4"/>
  <c r="E31" i="4"/>
  <c r="J30" i="4"/>
  <c r="D31" i="4"/>
  <c r="J16" i="4"/>
  <c r="J31" i="4"/>
  <c r="K20" i="4" s="1"/>
  <c r="L20" i="4" s="1"/>
  <c r="C31" i="4"/>
  <c r="P23" i="7"/>
  <c r="K23" i="7"/>
  <c r="K33" i="7"/>
  <c r="P33" i="7"/>
  <c r="P28" i="7"/>
  <c r="K28" i="7"/>
  <c r="P27" i="7"/>
  <c r="K27" i="7"/>
  <c r="P34" i="7"/>
  <c r="K34" i="7"/>
  <c r="P30" i="7"/>
  <c r="K40" i="7"/>
  <c r="T10" i="9" l="1"/>
  <c r="T27" i="9"/>
  <c r="T7" i="9"/>
  <c r="T28" i="9"/>
  <c r="T11" i="9"/>
  <c r="T29" i="9"/>
  <c r="T15" i="9"/>
  <c r="T26" i="9"/>
  <c r="T18" i="9"/>
  <c r="T23" i="9"/>
  <c r="T14" i="9"/>
  <c r="T4" i="9"/>
  <c r="T9" i="9"/>
  <c r="T24" i="9"/>
  <c r="T12" i="9"/>
  <c r="O16" i="9"/>
  <c r="O31" i="9"/>
  <c r="T21" i="9"/>
  <c r="N31" i="9"/>
  <c r="T25" i="9"/>
  <c r="T8" i="9"/>
  <c r="N16" i="9"/>
  <c r="T22" i="9"/>
  <c r="P3" i="9"/>
  <c r="T20" i="9"/>
  <c r="T13" i="9"/>
  <c r="T6" i="9"/>
  <c r="T5" i="9"/>
  <c r="O30" i="9"/>
  <c r="N30" i="9"/>
  <c r="T19" i="9"/>
  <c r="L30" i="9"/>
  <c r="P17" i="9"/>
  <c r="G39" i="7"/>
  <c r="H16" i="7" s="1"/>
  <c r="F39" i="7"/>
  <c r="N14" i="4"/>
  <c r="O14" i="4" s="1"/>
  <c r="N7" i="4"/>
  <c r="O7" i="4" s="1"/>
  <c r="N10" i="4"/>
  <c r="O10" i="4" s="1"/>
  <c r="N28" i="4"/>
  <c r="O28" i="4" s="1"/>
  <c r="N8" i="4"/>
  <c r="O8" i="4" s="1"/>
  <c r="N5" i="4"/>
  <c r="O5" i="4" s="1"/>
  <c r="N26" i="4"/>
  <c r="O26" i="4" s="1"/>
  <c r="N12" i="4"/>
  <c r="O12" i="4" s="1"/>
  <c r="N29" i="4"/>
  <c r="O29" i="4" s="1"/>
  <c r="N11" i="4"/>
  <c r="O11" i="4" s="1"/>
  <c r="N4" i="4"/>
  <c r="O4" i="4" s="1"/>
  <c r="N22" i="4"/>
  <c r="O22" i="4" s="1"/>
  <c r="N17" i="4"/>
  <c r="O17" i="4" s="1"/>
  <c r="N13" i="4"/>
  <c r="O13" i="4" s="1"/>
  <c r="N23" i="4"/>
  <c r="O23" i="4" s="1"/>
  <c r="N24" i="4"/>
  <c r="O24" i="4" s="1"/>
  <c r="N6" i="4"/>
  <c r="O6" i="4" s="1"/>
  <c r="N20" i="4"/>
  <c r="O20" i="4" s="1"/>
  <c r="P20" i="4" s="1"/>
  <c r="T20" i="4" s="1"/>
  <c r="U20" i="4" s="1"/>
  <c r="N25" i="4"/>
  <c r="O25" i="4" s="1"/>
  <c r="N21" i="4"/>
  <c r="O21" i="4" s="1"/>
  <c r="N27" i="4"/>
  <c r="O27" i="4" s="1"/>
  <c r="N3" i="4"/>
  <c r="N18" i="4"/>
  <c r="O18" i="4" s="1"/>
  <c r="N15" i="4"/>
  <c r="O15" i="4" s="1"/>
  <c r="N9" i="4"/>
  <c r="O9" i="4" s="1"/>
  <c r="K29" i="4"/>
  <c r="L29" i="4" s="1"/>
  <c r="K5" i="4"/>
  <c r="L5" i="4" s="1"/>
  <c r="K10" i="4"/>
  <c r="L10" i="4" s="1"/>
  <c r="K3" i="4"/>
  <c r="L3" i="4" s="1"/>
  <c r="K28" i="4"/>
  <c r="L28" i="4" s="1"/>
  <c r="K27" i="4"/>
  <c r="L27" i="4" s="1"/>
  <c r="K15" i="4"/>
  <c r="L15" i="4" s="1"/>
  <c r="K14" i="4"/>
  <c r="L14" i="4" s="1"/>
  <c r="K25" i="4"/>
  <c r="L25" i="4" s="1"/>
  <c r="K17" i="4"/>
  <c r="L17" i="4" s="1"/>
  <c r="K23" i="4"/>
  <c r="L23" i="4" s="1"/>
  <c r="K6" i="4"/>
  <c r="L6" i="4" s="1"/>
  <c r="K4" i="4"/>
  <c r="L4" i="4" s="1"/>
  <c r="K9" i="4"/>
  <c r="L9" i="4" s="1"/>
  <c r="K22" i="4"/>
  <c r="L22" i="4" s="1"/>
  <c r="K24" i="4"/>
  <c r="L24" i="4" s="1"/>
  <c r="K12" i="4"/>
  <c r="L12" i="4" s="1"/>
  <c r="K13" i="4"/>
  <c r="L13" i="4" s="1"/>
  <c r="K19" i="4"/>
  <c r="L19" i="4" s="1"/>
  <c r="P19" i="4" s="1"/>
  <c r="T19" i="4" s="1"/>
  <c r="U19" i="4" s="1"/>
  <c r="K11" i="4"/>
  <c r="L11" i="4" s="1"/>
  <c r="K21" i="4"/>
  <c r="L21" i="4" s="1"/>
  <c r="K26" i="4"/>
  <c r="L26" i="4" s="1"/>
  <c r="K8" i="4"/>
  <c r="L8" i="4" s="1"/>
  <c r="K7" i="4"/>
  <c r="L7" i="4" s="1"/>
  <c r="K18" i="4"/>
  <c r="L18" i="4" s="1"/>
  <c r="V6" i="9" l="1"/>
  <c r="U6" i="9"/>
  <c r="V4" i="9"/>
  <c r="U4" i="9"/>
  <c r="V28" i="9"/>
  <c r="U28" i="9"/>
  <c r="X28" i="9" s="1"/>
  <c r="Y28" i="9" s="1"/>
  <c r="W28" i="9"/>
  <c r="V19" i="9"/>
  <c r="U19" i="9"/>
  <c r="V13" i="9"/>
  <c r="U13" i="9"/>
  <c r="V8" i="9"/>
  <c r="U8" i="9"/>
  <c r="V12" i="9"/>
  <c r="U12" i="9"/>
  <c r="V14" i="9"/>
  <c r="U14" i="9"/>
  <c r="V15" i="9"/>
  <c r="U15" i="9"/>
  <c r="V7" i="9"/>
  <c r="U7" i="9"/>
  <c r="V26" i="9"/>
  <c r="U26" i="9"/>
  <c r="V20" i="9"/>
  <c r="U20" i="9"/>
  <c r="X25" i="9"/>
  <c r="Y25" i="9" s="1"/>
  <c r="W25" i="9"/>
  <c r="V25" i="9"/>
  <c r="U25" i="9"/>
  <c r="P31" i="9"/>
  <c r="Q3" i="9" s="1"/>
  <c r="T3" i="9"/>
  <c r="P16" i="9"/>
  <c r="V24" i="9"/>
  <c r="U24" i="9"/>
  <c r="X23" i="9"/>
  <c r="Y23" i="9" s="1"/>
  <c r="W23" i="9"/>
  <c r="V23" i="9"/>
  <c r="U23" i="9"/>
  <c r="X29" i="9"/>
  <c r="Y29" i="9"/>
  <c r="W29" i="9"/>
  <c r="V29" i="9"/>
  <c r="U29" i="9"/>
  <c r="V27" i="9"/>
  <c r="U27" i="9"/>
  <c r="V5" i="9"/>
  <c r="U5" i="9"/>
  <c r="P30" i="9"/>
  <c r="Q30" i="9" s="1"/>
  <c r="T17" i="9"/>
  <c r="V22" i="9"/>
  <c r="U22" i="9"/>
  <c r="X22" i="9" s="1"/>
  <c r="Y22" i="9" s="1"/>
  <c r="W22" i="9"/>
  <c r="V21" i="9"/>
  <c r="U21" i="9"/>
  <c r="V9" i="9"/>
  <c r="U9" i="9"/>
  <c r="V18" i="9"/>
  <c r="U18" i="9"/>
  <c r="X18" i="9" s="1"/>
  <c r="Y18" i="9" s="1"/>
  <c r="W18" i="9"/>
  <c r="V11" i="9"/>
  <c r="U11" i="9"/>
  <c r="V10" i="9"/>
  <c r="U10" i="9"/>
  <c r="I16" i="7"/>
  <c r="J16" i="7" s="1"/>
  <c r="H17" i="7"/>
  <c r="I17" i="7" s="1"/>
  <c r="J17" i="7" s="1"/>
  <c r="H31" i="7"/>
  <c r="I31" i="7" s="1"/>
  <c r="J31" i="7" s="1"/>
  <c r="H18" i="7"/>
  <c r="I18" i="7" s="1"/>
  <c r="J18" i="7" s="1"/>
  <c r="H9" i="7"/>
  <c r="I9" i="7" s="1"/>
  <c r="J9" i="7" s="1"/>
  <c r="H10" i="7"/>
  <c r="I10" i="7" s="1"/>
  <c r="J10" i="7" s="1"/>
  <c r="H15" i="7"/>
  <c r="I15" i="7" s="1"/>
  <c r="J15" i="7" s="1"/>
  <c r="H32" i="7"/>
  <c r="I32" i="7" s="1"/>
  <c r="J32" i="7" s="1"/>
  <c r="H12" i="7"/>
  <c r="I12" i="7" s="1"/>
  <c r="J12" i="7" s="1"/>
  <c r="H19" i="7"/>
  <c r="I19" i="7" s="1"/>
  <c r="J19" i="7" s="1"/>
  <c r="H29" i="7"/>
  <c r="I29" i="7" s="1"/>
  <c r="J29" i="7" s="1"/>
  <c r="H11" i="7"/>
  <c r="I11" i="7" s="1"/>
  <c r="J11" i="7" s="1"/>
  <c r="H14" i="7"/>
  <c r="I14" i="7" s="1"/>
  <c r="J14" i="7" s="1"/>
  <c r="H24" i="7"/>
  <c r="I24" i="7" s="1"/>
  <c r="J24" i="7" s="1"/>
  <c r="H22" i="7"/>
  <c r="I22" i="7" s="1"/>
  <c r="J22" i="7" s="1"/>
  <c r="H20" i="7"/>
  <c r="I20" i="7" s="1"/>
  <c r="J20" i="7" s="1"/>
  <c r="H13" i="7"/>
  <c r="I13" i="7" s="1"/>
  <c r="J13" i="7" s="1"/>
  <c r="H8" i="7"/>
  <c r="I8" i="7" s="1"/>
  <c r="J8" i="7" s="1"/>
  <c r="H26" i="7"/>
  <c r="I26" i="7" s="1"/>
  <c r="J26" i="7" s="1"/>
  <c r="H25" i="7"/>
  <c r="I25" i="7" s="1"/>
  <c r="J25" i="7" s="1"/>
  <c r="P21" i="4"/>
  <c r="T21" i="4" s="1"/>
  <c r="V21" i="4" s="1"/>
  <c r="P4" i="4"/>
  <c r="T4" i="4" s="1"/>
  <c r="V4" i="4" s="1"/>
  <c r="P28" i="4"/>
  <c r="T28" i="4" s="1"/>
  <c r="V28" i="4" s="1"/>
  <c r="P10" i="4"/>
  <c r="T10" i="4" s="1"/>
  <c r="V10" i="4" s="1"/>
  <c r="P11" i="4"/>
  <c r="T11" i="4" s="1"/>
  <c r="U11" i="4" s="1"/>
  <c r="P25" i="4"/>
  <c r="T25" i="4" s="1"/>
  <c r="W25" i="4" s="1"/>
  <c r="P7" i="4"/>
  <c r="T7" i="4" s="1"/>
  <c r="U7" i="4" s="1"/>
  <c r="P22" i="4"/>
  <c r="T22" i="4" s="1"/>
  <c r="W22" i="4" s="1"/>
  <c r="P18" i="4"/>
  <c r="T18" i="4" s="1"/>
  <c r="W18" i="4" s="1"/>
  <c r="N31" i="4"/>
  <c r="P5" i="4"/>
  <c r="T5" i="4" s="1"/>
  <c r="U5" i="4" s="1"/>
  <c r="N30" i="4"/>
  <c r="P23" i="4"/>
  <c r="T23" i="4" s="1"/>
  <c r="U23" i="4" s="1"/>
  <c r="O30" i="4"/>
  <c r="P15" i="4"/>
  <c r="T15" i="4" s="1"/>
  <c r="U15" i="4" s="1"/>
  <c r="P13" i="4"/>
  <c r="T13" i="4" s="1"/>
  <c r="U13" i="4" s="1"/>
  <c r="P12" i="4"/>
  <c r="T12" i="4" s="1"/>
  <c r="U12" i="4" s="1"/>
  <c r="P8" i="4"/>
  <c r="T8" i="4" s="1"/>
  <c r="U8" i="4" s="1"/>
  <c r="P26" i="4"/>
  <c r="T26" i="4" s="1"/>
  <c r="U26" i="4" s="1"/>
  <c r="P27" i="4"/>
  <c r="T27" i="4" s="1"/>
  <c r="V27" i="4" s="1"/>
  <c r="P29" i="4"/>
  <c r="T29" i="4" s="1"/>
  <c r="U29" i="4" s="1"/>
  <c r="X29" i="4" s="1"/>
  <c r="Y29" i="4" s="1"/>
  <c r="P24" i="4"/>
  <c r="T24" i="4" s="1"/>
  <c r="U24" i="4" s="1"/>
  <c r="P14" i="4"/>
  <c r="T14" i="4" s="1"/>
  <c r="V14" i="4" s="1"/>
  <c r="P9" i="4"/>
  <c r="T9" i="4" s="1"/>
  <c r="U9" i="4" s="1"/>
  <c r="N16" i="4"/>
  <c r="O3" i="4"/>
  <c r="O16" i="4" s="1"/>
  <c r="P6" i="4"/>
  <c r="T6" i="4" s="1"/>
  <c r="U6" i="4" s="1"/>
  <c r="V20" i="4"/>
  <c r="V19" i="4"/>
  <c r="U28" i="4"/>
  <c r="X28" i="4" s="1"/>
  <c r="Y28" i="4" s="1"/>
  <c r="V25" i="4"/>
  <c r="K31" i="4"/>
  <c r="U4" i="4"/>
  <c r="K30" i="4"/>
  <c r="K16" i="4"/>
  <c r="L31" i="4"/>
  <c r="L16" i="4"/>
  <c r="P17" i="4"/>
  <c r="L30" i="4"/>
  <c r="P14" i="7" l="1"/>
  <c r="P16" i="7"/>
  <c r="K11" i="7"/>
  <c r="K18" i="7"/>
  <c r="K25" i="7"/>
  <c r="K26" i="7"/>
  <c r="P15" i="7"/>
  <c r="K13" i="7"/>
  <c r="P20" i="7"/>
  <c r="K8" i="7"/>
  <c r="K10" i="7"/>
  <c r="K17" i="7"/>
  <c r="K9" i="7"/>
  <c r="P22" i="7"/>
  <c r="K29" i="7"/>
  <c r="P31" i="7"/>
  <c r="P12" i="7"/>
  <c r="P24" i="7"/>
  <c r="P19" i="7"/>
  <c r="Q17" i="9"/>
  <c r="T30" i="9"/>
  <c r="V17" i="9"/>
  <c r="U17" i="9"/>
  <c r="Q16" i="9"/>
  <c r="V3" i="9"/>
  <c r="V16" i="9" s="1"/>
  <c r="U3" i="9"/>
  <c r="U16" i="9" s="1"/>
  <c r="T16" i="9"/>
  <c r="T31" i="9" s="1"/>
  <c r="Q31" i="9"/>
  <c r="Q6" i="9"/>
  <c r="Q10" i="9"/>
  <c r="Q11" i="9"/>
  <c r="Q18" i="9"/>
  <c r="Q9" i="9"/>
  <c r="Q21" i="9"/>
  <c r="Q22" i="9"/>
  <c r="Q5" i="9"/>
  <c r="Q27" i="9"/>
  <c r="Q29" i="9"/>
  <c r="Q23" i="9"/>
  <c r="Q24" i="9"/>
  <c r="Q8" i="9"/>
  <c r="Q25" i="9"/>
  <c r="Q20" i="9"/>
  <c r="Q7" i="9"/>
  <c r="Q15" i="9"/>
  <c r="Q14" i="9"/>
  <c r="Q12" i="9"/>
  <c r="Q13" i="9"/>
  <c r="Q19" i="9"/>
  <c r="Q28" i="9"/>
  <c r="Q26" i="9"/>
  <c r="Q4" i="9"/>
  <c r="P17" i="7"/>
  <c r="P18" i="7"/>
  <c r="P10" i="7"/>
  <c r="O16" i="7"/>
  <c r="K16" i="7"/>
  <c r="O10" i="7"/>
  <c r="P9" i="7"/>
  <c r="K31" i="7"/>
  <c r="K19" i="7"/>
  <c r="K20" i="7"/>
  <c r="K24" i="7"/>
  <c r="P29" i="7"/>
  <c r="O13" i="7"/>
  <c r="P13" i="7"/>
  <c r="K15" i="7"/>
  <c r="I37" i="7"/>
  <c r="J36" i="7"/>
  <c r="K36" i="7" s="1"/>
  <c r="O14" i="7"/>
  <c r="I36" i="7"/>
  <c r="K14" i="7"/>
  <c r="K32" i="7"/>
  <c r="P32" i="7"/>
  <c r="P26" i="7"/>
  <c r="P25" i="7"/>
  <c r="P11" i="7"/>
  <c r="K12" i="7"/>
  <c r="P8" i="7"/>
  <c r="J37" i="7"/>
  <c r="K37" i="7" s="1"/>
  <c r="K22" i="7"/>
  <c r="U18" i="4"/>
  <c r="X18" i="4" s="1"/>
  <c r="Y18" i="4" s="1"/>
  <c r="U21" i="4"/>
  <c r="W28" i="4"/>
  <c r="V18" i="4"/>
  <c r="U10" i="4"/>
  <c r="O31" i="4"/>
  <c r="V11" i="4"/>
  <c r="V12" i="4"/>
  <c r="U25" i="4"/>
  <c r="X25" i="4" s="1"/>
  <c r="Y25" i="4" s="1"/>
  <c r="V5" i="4"/>
  <c r="P3" i="4"/>
  <c r="T3" i="4" s="1"/>
  <c r="V26" i="4"/>
  <c r="V7" i="4"/>
  <c r="V13" i="4"/>
  <c r="U22" i="4"/>
  <c r="X22" i="4" s="1"/>
  <c r="Y22" i="4" s="1"/>
  <c r="V22" i="4"/>
  <c r="V8" i="4"/>
  <c r="U14" i="4"/>
  <c r="V15" i="4"/>
  <c r="W23" i="4"/>
  <c r="U27" i="4"/>
  <c r="V9" i="4"/>
  <c r="V23" i="4"/>
  <c r="X23" i="4"/>
  <c r="Y23" i="4" s="1"/>
  <c r="V24" i="4"/>
  <c r="V6" i="4"/>
  <c r="W29" i="4"/>
  <c r="V29" i="4"/>
  <c r="T17" i="4"/>
  <c r="P30" i="4"/>
  <c r="U31" i="9" l="1"/>
  <c r="U30" i="9"/>
  <c r="V30" i="9"/>
  <c r="V31" i="9"/>
  <c r="J39" i="7"/>
  <c r="K39" i="7" s="1"/>
  <c r="P16" i="4"/>
  <c r="P31" i="4"/>
  <c r="Q3" i="4" s="1"/>
  <c r="Q17" i="4"/>
  <c r="V3" i="4"/>
  <c r="V16" i="4" s="1"/>
  <c r="U3" i="4"/>
  <c r="U16" i="4" s="1"/>
  <c r="T16" i="4"/>
  <c r="V17" i="4"/>
  <c r="U17" i="4"/>
  <c r="T30" i="4"/>
  <c r="Q23" i="4"/>
  <c r="Q15" i="4"/>
  <c r="Q6" i="4"/>
  <c r="Q26" i="4"/>
  <c r="Q19" i="4"/>
  <c r="Q21" i="4"/>
  <c r="Q5" i="4"/>
  <c r="Q12" i="4"/>
  <c r="Q24" i="4"/>
  <c r="Q18" i="4"/>
  <c r="Q10" i="4"/>
  <c r="Q14" i="4"/>
  <c r="Q4" i="4"/>
  <c r="Q29" i="4"/>
  <c r="Q7" i="4"/>
  <c r="Q11" i="4"/>
  <c r="Q22" i="4"/>
  <c r="W11" i="9" l="1"/>
  <c r="X11" i="9" s="1"/>
  <c r="Y11" i="9" s="1"/>
  <c r="W5" i="9"/>
  <c r="X5" i="9" s="1"/>
  <c r="Y5" i="9" s="1"/>
  <c r="W15" i="9"/>
  <c r="X15" i="9" s="1"/>
  <c r="Y15" i="9" s="1"/>
  <c r="W9" i="9"/>
  <c r="X9" i="9" s="1"/>
  <c r="Y9" i="9" s="1"/>
  <c r="W10" i="9"/>
  <c r="X10" i="9" s="1"/>
  <c r="Y10" i="9" s="1"/>
  <c r="W13" i="9"/>
  <c r="X13" i="9" s="1"/>
  <c r="Y13" i="9" s="1"/>
  <c r="W8" i="9"/>
  <c r="X8" i="9" s="1"/>
  <c r="Y8" i="9" s="1"/>
  <c r="W14" i="9"/>
  <c r="X14" i="9" s="1"/>
  <c r="Y14" i="9" s="1"/>
  <c r="W26" i="9"/>
  <c r="X26" i="9" s="1"/>
  <c r="Y26" i="9" s="1"/>
  <c r="W27" i="9"/>
  <c r="X27" i="9" s="1"/>
  <c r="Y27" i="9" s="1"/>
  <c r="W12" i="9"/>
  <c r="X12" i="9" s="1"/>
  <c r="Y12" i="9" s="1"/>
  <c r="W21" i="9"/>
  <c r="X21" i="9" s="1"/>
  <c r="Y21" i="9" s="1"/>
  <c r="W4" i="9"/>
  <c r="X4" i="9" s="1"/>
  <c r="Y4" i="9" s="1"/>
  <c r="W19" i="9"/>
  <c r="X19" i="9" s="1"/>
  <c r="Y19" i="9" s="1"/>
  <c r="W7" i="9"/>
  <c r="X7" i="9" s="1"/>
  <c r="Y7" i="9" s="1"/>
  <c r="W24" i="9"/>
  <c r="X24" i="9" s="1"/>
  <c r="Y24" i="9" s="1"/>
  <c r="W6" i="9"/>
  <c r="X6" i="9" s="1"/>
  <c r="Y6" i="9" s="1"/>
  <c r="W20" i="9"/>
  <c r="X20" i="9" s="1"/>
  <c r="Y20" i="9" s="1"/>
  <c r="W3" i="9"/>
  <c r="W17" i="9"/>
  <c r="J42" i="7"/>
  <c r="K42" i="7" s="1"/>
  <c r="Q9" i="4"/>
  <c r="Q25" i="4"/>
  <c r="Q20" i="4"/>
  <c r="Q13" i="4"/>
  <c r="Q8" i="4"/>
  <c r="Q31" i="4"/>
  <c r="Q28" i="4"/>
  <c r="Q16" i="4"/>
  <c r="Q30" i="4"/>
  <c r="Q27" i="4"/>
  <c r="T31" i="4"/>
  <c r="U30" i="4"/>
  <c r="U31" i="4"/>
  <c r="V30" i="4"/>
  <c r="V31" i="4"/>
  <c r="W4" i="4" s="1"/>
  <c r="AC14" i="9" l="1"/>
  <c r="AC8" i="9"/>
  <c r="AC13" i="9"/>
  <c r="AC4" i="9"/>
  <c r="AC10" i="9"/>
  <c r="W31" i="9"/>
  <c r="W30" i="9"/>
  <c r="X17" i="9"/>
  <c r="AC9" i="9"/>
  <c r="AC7" i="9"/>
  <c r="AC12" i="9"/>
  <c r="AC15" i="9"/>
  <c r="AC5" i="9"/>
  <c r="W16" i="9"/>
  <c r="X3" i="9"/>
  <c r="AC6" i="9"/>
  <c r="AC11" i="9"/>
  <c r="X4" i="4"/>
  <c r="Y4" i="4" s="1"/>
  <c r="W10" i="4"/>
  <c r="X10" i="4" s="1"/>
  <c r="Y10" i="4" s="1"/>
  <c r="W13" i="4"/>
  <c r="X13" i="4" s="1"/>
  <c r="Y13" i="4" s="1"/>
  <c r="W6" i="4"/>
  <c r="X6" i="4" s="1"/>
  <c r="Y6" i="4" s="1"/>
  <c r="W26" i="4"/>
  <c r="X26" i="4" s="1"/>
  <c r="Y26" i="4" s="1"/>
  <c r="W19" i="4"/>
  <c r="X19" i="4" s="1"/>
  <c r="Y19" i="4" s="1"/>
  <c r="W7" i="4"/>
  <c r="X7" i="4" s="1"/>
  <c r="Y7" i="4" s="1"/>
  <c r="W15" i="4"/>
  <c r="X15" i="4" s="1"/>
  <c r="Y15" i="4" s="1"/>
  <c r="W24" i="4"/>
  <c r="X24" i="4" s="1"/>
  <c r="Y24" i="4" s="1"/>
  <c r="W20" i="4"/>
  <c r="X20" i="4" s="1"/>
  <c r="Y20" i="4" s="1"/>
  <c r="W9" i="4"/>
  <c r="X9" i="4" s="1"/>
  <c r="Y9" i="4" s="1"/>
  <c r="W21" i="4"/>
  <c r="X21" i="4" s="1"/>
  <c r="Y21" i="4" s="1"/>
  <c r="W27" i="4"/>
  <c r="X27" i="4" s="1"/>
  <c r="Y27" i="4" s="1"/>
  <c r="W5" i="4"/>
  <c r="X5" i="4" s="1"/>
  <c r="Y5" i="4" s="1"/>
  <c r="W8" i="4"/>
  <c r="X8" i="4" s="1"/>
  <c r="Y8" i="4" s="1"/>
  <c r="W14" i="4"/>
  <c r="X14" i="4" s="1"/>
  <c r="Y14" i="4" s="1"/>
  <c r="W17" i="4"/>
  <c r="W11" i="4"/>
  <c r="X11" i="4" s="1"/>
  <c r="Y11" i="4" s="1"/>
  <c r="W12" i="4"/>
  <c r="X12" i="4" s="1"/>
  <c r="Y12" i="4" s="1"/>
  <c r="W3" i="4"/>
  <c r="X31" i="9" l="1"/>
  <c r="X30" i="9"/>
  <c r="Y17" i="9"/>
  <c r="X16" i="9"/>
  <c r="Y3" i="9"/>
  <c r="X3" i="4"/>
  <c r="W16" i="4"/>
  <c r="X17" i="4"/>
  <c r="W30" i="4"/>
  <c r="W31" i="4"/>
  <c r="AC3" i="9" l="1"/>
  <c r="Y16" i="9"/>
  <c r="Y31" i="9"/>
  <c r="Y30" i="9"/>
  <c r="X16" i="4"/>
  <c r="Y3" i="4"/>
  <c r="Y17" i="4"/>
  <c r="X31" i="4"/>
  <c r="X30" i="4"/>
  <c r="Z31" i="9" l="1"/>
  <c r="Z22" i="9"/>
  <c r="Z28" i="9"/>
  <c r="Z29" i="9"/>
  <c r="Z23" i="9"/>
  <c r="Z18" i="9"/>
  <c r="Z25" i="9"/>
  <c r="Z14" i="9"/>
  <c r="AD14" i="9" s="1"/>
  <c r="Z10" i="9"/>
  <c r="AD10" i="9" s="1"/>
  <c r="Z5" i="9"/>
  <c r="Z11" i="9"/>
  <c r="Z8" i="9"/>
  <c r="AD8" i="9" s="1"/>
  <c r="Z12" i="9"/>
  <c r="Z13" i="9"/>
  <c r="AD13" i="9" s="1"/>
  <c r="Z7" i="9"/>
  <c r="AD7" i="9" s="1"/>
  <c r="Z6" i="9"/>
  <c r="Z9" i="9"/>
  <c r="AD9" i="9" s="1"/>
  <c r="Z19" i="9"/>
  <c r="Z15" i="9"/>
  <c r="Z24" i="9"/>
  <c r="Z27" i="9"/>
  <c r="Z21" i="9"/>
  <c r="Z4" i="9"/>
  <c r="AD4" i="9" s="1"/>
  <c r="Z26" i="9"/>
  <c r="Z20" i="9"/>
  <c r="Z30" i="9"/>
  <c r="Z17" i="9"/>
  <c r="AC16" i="9"/>
  <c r="Z16" i="9"/>
  <c r="AD16" i="9" s="1"/>
  <c r="Z3" i="9"/>
  <c r="AD3" i="9" s="1"/>
  <c r="Y30" i="4"/>
  <c r="Y31" i="4"/>
  <c r="Z3" i="4" s="1"/>
  <c r="Y16" i="4"/>
  <c r="AD11" i="9" l="1"/>
  <c r="AD6" i="9"/>
  <c r="AD12" i="9"/>
  <c r="AD15" i="9"/>
  <c r="AD5" i="9"/>
  <c r="Z16" i="4"/>
  <c r="Z17" i="4"/>
  <c r="Z28" i="4"/>
  <c r="Z21" i="4"/>
  <c r="Z22" i="4"/>
  <c r="Z13" i="4"/>
  <c r="Z20" i="4"/>
  <c r="Z18" i="4"/>
  <c r="Z12" i="4"/>
  <c r="Z31" i="4"/>
  <c r="Z9" i="4"/>
  <c r="Z25" i="4"/>
  <c r="Z29" i="4"/>
  <c r="Z10" i="4"/>
  <c r="Z4" i="4"/>
  <c r="Z15" i="4"/>
  <c r="Z6" i="4"/>
  <c r="Z5" i="4"/>
  <c r="Z23" i="4"/>
  <c r="Z11" i="4"/>
  <c r="Z8" i="4"/>
  <c r="Z24" i="4"/>
  <c r="Z14" i="4"/>
  <c r="Z19" i="4"/>
  <c r="Z26" i="4"/>
  <c r="Z7" i="4"/>
  <c r="Z27" i="4"/>
  <c r="Z30" i="4"/>
</calcChain>
</file>

<file path=xl/comments1.xml><?xml version="1.0" encoding="utf-8"?>
<comments xmlns="http://schemas.openxmlformats.org/spreadsheetml/2006/main">
  <authors>
    <author>Alena Morgan</author>
  </authors>
  <commentList>
    <comment ref="G32" authorId="0" shapeId="0">
      <text>
        <r>
          <rPr>
            <b/>
            <sz val="9"/>
            <color indexed="81"/>
            <rFont val="Tahoma"/>
            <family val="2"/>
          </rPr>
          <t>Alena Morgan:</t>
        </r>
        <r>
          <rPr>
            <sz val="9"/>
            <color indexed="81"/>
            <rFont val="Tahoma"/>
            <family val="2"/>
          </rPr>
          <t xml:space="preserve">
Increased by .02
</t>
        </r>
      </text>
    </comment>
  </commentList>
</comments>
</file>

<file path=xl/sharedStrings.xml><?xml version="1.0" encoding="utf-8"?>
<sst xmlns="http://schemas.openxmlformats.org/spreadsheetml/2006/main" count="170" uniqueCount="77">
  <si>
    <t>Total</t>
  </si>
  <si>
    <t>Region</t>
  </si>
  <si>
    <t>Subtotal</t>
  </si>
  <si>
    <t>MSA Counties with Urban Places</t>
  </si>
  <si>
    <t>Non-MSA Counties and Counties with Only Rural Places</t>
  </si>
  <si>
    <t>Individuals at or Below 200% Poverty</t>
  </si>
  <si>
    <t>HH at or Below 200% Poverty</t>
  </si>
  <si>
    <t>Texas Average HH Size:</t>
  </si>
  <si>
    <t>Initial Subregion Amount</t>
  </si>
  <si>
    <t>Weight of Need Variables:</t>
  </si>
  <si>
    <t>Weight of Availability Variables:</t>
  </si>
  <si>
    <t>Weighted</t>
  </si>
  <si>
    <t>Total Need Variables</t>
  </si>
  <si>
    <t>Vacant Units For Rent</t>
  </si>
  <si>
    <t>% of Total Need Variables</t>
  </si>
  <si>
    <t>Subregion Allocation Floor:</t>
  </si>
  <si>
    <t>Table 1 - Raw Data</t>
  </si>
  <si>
    <t>Table 2 - Weights</t>
  </si>
  <si>
    <t>Overcrowded Renters</t>
  </si>
  <si>
    <t>Total Availability Variable</t>
  </si>
  <si>
    <t>% of Total Availability Variable</t>
  </si>
  <si>
    <t>Cost-Burdened Renters</t>
  </si>
  <si>
    <t>Final Subregion Allocation</t>
  </si>
  <si>
    <t>Table 3 - Reallocation</t>
  </si>
  <si>
    <t>Amount Needed to Reach Subregion Floor</t>
  </si>
  <si>
    <t>Amount that can be Reallocated</t>
  </si>
  <si>
    <t>Amount to be Reallocated</t>
  </si>
  <si>
    <t>% of Total Amount that can be Reallocated</t>
  </si>
  <si>
    <t>% of Total Award</t>
  </si>
  <si>
    <t>Initial Subregion Allocation</t>
  </si>
  <si>
    <t>Grand Total</t>
  </si>
  <si>
    <t>REQUEST LIMITS</t>
  </si>
  <si>
    <t>ELDERLY FUNDING LIMITS</t>
  </si>
  <si>
    <t>Geographic Area</t>
  </si>
  <si>
    <t>Initial Sub-Region Amount</t>
  </si>
  <si>
    <t>Amount needed to reach $600,000</t>
  </si>
  <si>
    <t>Amount over $600,000 that can be reallocated</t>
  </si>
  <si>
    <t>Proportion of amount available to be reallocated</t>
  </si>
  <si>
    <t>Final Funding Amount</t>
  </si>
  <si>
    <t>Allocation %</t>
  </si>
  <si>
    <t>Max Funding Request/Award Limits</t>
  </si>
  <si>
    <t xml:space="preserve">Maximum Elderly Funding Limit </t>
  </si>
  <si>
    <t>Urban</t>
  </si>
  <si>
    <t>Lubbock</t>
  </si>
  <si>
    <t>n/a</t>
  </si>
  <si>
    <t>Abilene</t>
  </si>
  <si>
    <t>Tyler</t>
  </si>
  <si>
    <t>Beaumont</t>
  </si>
  <si>
    <t>Houston</t>
  </si>
  <si>
    <t>Waco</t>
  </si>
  <si>
    <t>Brownsville/Harlingen</t>
  </si>
  <si>
    <t>Rural</t>
  </si>
  <si>
    <t>Urban Totals</t>
  </si>
  <si>
    <t>Rural Totals</t>
  </si>
  <si>
    <t>Regional Totals</t>
  </si>
  <si>
    <t>At-Risk Totals</t>
  </si>
  <si>
    <t>USDA (From At-Risk)</t>
  </si>
  <si>
    <t>NOTES:</t>
  </si>
  <si>
    <t xml:space="preserve">Elderly
Percentage </t>
  </si>
  <si>
    <r>
      <t>Dallas/Fort</t>
    </r>
    <r>
      <rPr>
        <b/>
        <sz val="12"/>
        <color indexed="8"/>
        <rFont val="Calibri"/>
        <family val="2"/>
        <scheme val="minor"/>
      </rPr>
      <t xml:space="preserve"> </t>
    </r>
    <r>
      <rPr>
        <sz val="12"/>
        <color indexed="8"/>
        <rFont val="Calibri"/>
        <family val="2"/>
        <scheme val="minor"/>
      </rPr>
      <t>Worth</t>
    </r>
  </si>
  <si>
    <r>
      <t>Austin/Round</t>
    </r>
    <r>
      <rPr>
        <b/>
        <sz val="12"/>
        <color indexed="8"/>
        <rFont val="Calibri"/>
        <family val="2"/>
        <scheme val="minor"/>
      </rPr>
      <t xml:space="preserve"> </t>
    </r>
    <r>
      <rPr>
        <sz val="12"/>
        <color indexed="8"/>
        <rFont val="Calibri"/>
        <family val="2"/>
        <scheme val="minor"/>
      </rPr>
      <t>Rock</t>
    </r>
  </si>
  <si>
    <r>
      <t>San</t>
    </r>
    <r>
      <rPr>
        <b/>
        <sz val="12"/>
        <color indexed="8"/>
        <rFont val="Calibri"/>
        <family val="2"/>
        <scheme val="minor"/>
      </rPr>
      <t xml:space="preserve"> </t>
    </r>
    <r>
      <rPr>
        <sz val="12"/>
        <color indexed="8"/>
        <rFont val="Calibri"/>
        <family val="2"/>
        <scheme val="minor"/>
      </rPr>
      <t>Antonio</t>
    </r>
  </si>
  <si>
    <r>
      <t>Corpus</t>
    </r>
    <r>
      <rPr>
        <b/>
        <sz val="12"/>
        <color indexed="8"/>
        <rFont val="Calibri"/>
        <family val="2"/>
        <scheme val="minor"/>
      </rPr>
      <t xml:space="preserve"> </t>
    </r>
    <r>
      <rPr>
        <sz val="12"/>
        <color indexed="8"/>
        <rFont val="Calibri"/>
        <family val="2"/>
        <scheme val="minor"/>
      </rPr>
      <t>Christi</t>
    </r>
  </si>
  <si>
    <r>
      <t>San</t>
    </r>
    <r>
      <rPr>
        <b/>
        <sz val="12"/>
        <color indexed="8"/>
        <rFont val="Calibri"/>
        <family val="2"/>
        <scheme val="minor"/>
      </rPr>
      <t xml:space="preserve"> </t>
    </r>
    <r>
      <rPr>
        <sz val="12"/>
        <color indexed="8"/>
        <rFont val="Calibri"/>
        <family val="2"/>
        <scheme val="minor"/>
      </rPr>
      <t>Angelo</t>
    </r>
  </si>
  <si>
    <r>
      <t>El</t>
    </r>
    <r>
      <rPr>
        <b/>
        <sz val="12"/>
        <color indexed="8"/>
        <rFont val="Calibri"/>
        <family val="2"/>
        <scheme val="minor"/>
      </rPr>
      <t xml:space="preserve"> </t>
    </r>
    <r>
      <rPr>
        <sz val="12"/>
        <color indexed="8"/>
        <rFont val="Calibri"/>
        <family val="2"/>
        <scheme val="minor"/>
      </rPr>
      <t>Paso</t>
    </r>
  </si>
  <si>
    <t>Total Allocation:</t>
  </si>
  <si>
    <t>2020 Population (pending 2021 Bulletin)</t>
  </si>
  <si>
    <t>2021 Cap Rate</t>
  </si>
  <si>
    <t>2021 Initial Ceiling Estimate</t>
  </si>
  <si>
    <r>
      <rPr>
        <b/>
        <sz val="14"/>
        <color rgb="FFFF0000"/>
        <rFont val="Calibri"/>
        <family val="2"/>
        <scheme val="minor"/>
      </rPr>
      <t xml:space="preserve">DRAFT </t>
    </r>
    <r>
      <rPr>
        <b/>
        <sz val="14"/>
        <color theme="1"/>
        <rFont val="Calibri"/>
        <family val="2"/>
        <scheme val="minor"/>
      </rPr>
      <t xml:space="preserve">2022 STATE OF TEXAS COMPETITIVE HOUSING TAX CREDIT ESTIMATED ALLOCATION, AND SUB-REGIONAL REQUEST AND ELDERLY FUNDING LIMITS </t>
    </r>
  </si>
  <si>
    <t>2022 Initial Ceiling Estimate</t>
  </si>
  <si>
    <t xml:space="preserve">2021 Population </t>
  </si>
  <si>
    <t>2022 Cap Rate (pending November Bulletin)</t>
  </si>
  <si>
    <t>At-Risk amount (not run through RAF)</t>
  </si>
  <si>
    <t>Regional Allocation Amount for 2022 9% RAF</t>
  </si>
  <si>
    <t>This table reflects the allocation of the estimated Competitive Housing Tax Credit Ceiling that the Department expects to have available for allocation during the 2022 cycle. This initial ceiling is estimated using the 2021 population figure of 29,360,759 (IRS Bulletin 2021-19) (pending updates to reflect the 2022 IRS Bulletin figures) multiplied by the 2022 cap rate of $2.60 (IRS Rev. Proc. 2021-45). The "Elderly Funding Limits" depicted are based on the  2021 HISTA data and will be revised to reflect 2022 HISTA data as soon as updated data is received by the Department. The column labeled "Final Funding Amount" is the column an Applicant can reference to determine the amount of the credit ceiling that is estimated to be available in each subregion for the 2022 cycle.  The column labeled "Max Funding Request/Award Limits" reflects the estimated maximum request limit for each State sub-region.  In accordance with 10 TAC §11.4(b), an Applicant cannot request or be awarded more than the amounts reflected in the column, which were established based on estimates as of December 1, 2021. These request/award limits are fixed and will not change, even if the regional funding amounts change based on future updates. Lastly, this chart will be updated as credit is returned during the year. Returned credits available to be reallocated in 2022 will be reflected in an additional column of the chart as it is updated.</t>
  </si>
  <si>
    <t>2022 COMPETITIVE HOUSING TAX CREDIT (9% HTC) ESTIMATED ALLOCATION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</si>
</sst>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8" formatCode="&quot;$&quot;#,##0.00_);[Red]\(&quot;$&quot;#,##0.00\)"/>
    <numFmt numFmtId="44" formatCode="_(&quot;$&quot;* #,##0.00_);_(&quot;$&quot;* \(#,##0.00\);_(&quot;$&quot;* &quot;-&quot;??_);_(@_)"/>
    <numFmt numFmtId="43" formatCode="_(* #,##0.00_);_(* \(#,##0.00\);_(* &quot;-&quot;??_);_(@_)"/>
    <numFmt numFmtId="164" formatCode="_(* #,##0_);_(* \(#,##0\);_(* &quot;-&quot;??_);_(@_)"/>
    <numFmt numFmtId="165" formatCode="0.0%"/>
    <numFmt numFmtId="166" formatCode="_(&quot;$&quot;* #,##0_);_(&quot;$&quot;* \(#,##0\);_(&quot;$&quot;* &quot;-&quot;??_);_(@_)"/>
    <numFmt numFmtId="167" formatCode="&quot;$&quot;#,##0.00"/>
    <numFmt numFmtId="168" formatCode="&quot;$&quot;#,##0"/>
    <numFmt numFmtId="169" formatCode="[$-409]mmmm\ d\,\ yyyy;@"/>
  </numFmts>
  <fonts count="18" x14ac:knownFonts="1">
    <font>
      <sz val="11"/>
      <color theme="1"/>
      <name val="Calibri"/>
      <family val="2"/>
      <scheme val="minor"/>
    </font>
    <font>
      <sz val="11"/>
      <color theme="1"/>
      <name val="Calibri"/>
      <family val="2"/>
      <scheme val="minor"/>
    </font>
    <font>
      <sz val="10"/>
      <color theme="1"/>
      <name val="Calibri"/>
      <family val="2"/>
      <scheme val="minor"/>
    </font>
    <font>
      <sz val="10"/>
      <color rgb="FF000000"/>
      <name val="Calibri"/>
      <family val="2"/>
      <scheme val="minor"/>
    </font>
    <font>
      <b/>
      <sz val="10"/>
      <color theme="1"/>
      <name val="Calibri"/>
      <family val="2"/>
      <scheme val="minor"/>
    </font>
    <font>
      <b/>
      <sz val="12"/>
      <color theme="1"/>
      <name val="Calibri"/>
      <family val="2"/>
      <scheme val="minor"/>
    </font>
    <font>
      <sz val="12"/>
      <color theme="1"/>
      <name val="Calibri"/>
      <family val="2"/>
      <scheme val="minor"/>
    </font>
    <font>
      <b/>
      <sz val="14"/>
      <color theme="1"/>
      <name val="Calibri"/>
      <family val="2"/>
      <scheme val="minor"/>
    </font>
    <font>
      <b/>
      <sz val="12"/>
      <name val="Calibri"/>
      <family val="2"/>
      <scheme val="minor"/>
    </font>
    <font>
      <sz val="12"/>
      <name val="Calibri"/>
      <family val="2"/>
      <scheme val="minor"/>
    </font>
    <font>
      <sz val="12"/>
      <color rgb="FF000000"/>
      <name val="Calibri"/>
      <family val="2"/>
      <scheme val="minor"/>
    </font>
    <font>
      <b/>
      <sz val="12"/>
      <color rgb="FF000000"/>
      <name val="Calibri"/>
      <family val="2"/>
      <scheme val="minor"/>
    </font>
    <font>
      <b/>
      <sz val="12"/>
      <color indexed="8"/>
      <name val="Calibri"/>
      <family val="2"/>
      <scheme val="minor"/>
    </font>
    <font>
      <sz val="12"/>
      <color indexed="8"/>
      <name val="Calibri"/>
      <family val="2"/>
      <scheme val="minor"/>
    </font>
    <font>
      <b/>
      <sz val="10"/>
      <name val="Calibri"/>
      <family val="2"/>
      <scheme val="minor"/>
    </font>
    <font>
      <b/>
      <sz val="14"/>
      <color rgb="FFFF0000"/>
      <name val="Calibri"/>
      <family val="2"/>
      <scheme val="minor"/>
    </font>
    <font>
      <sz val="9"/>
      <color indexed="81"/>
      <name val="Tahoma"/>
      <family val="2"/>
    </font>
    <font>
      <b/>
      <sz val="9"/>
      <color indexed="81"/>
      <name val="Tahoma"/>
      <family val="2"/>
    </font>
  </fonts>
  <fills count="8">
    <fill>
      <patternFill patternType="none"/>
    </fill>
    <fill>
      <patternFill patternType="gray125"/>
    </fill>
    <fill>
      <patternFill patternType="solid">
        <fgColor theme="2" tint="-0.249977111117893"/>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bgColor indexed="64"/>
      </patternFill>
    </fill>
    <fill>
      <patternFill patternType="solid">
        <fgColor theme="2"/>
        <bgColor indexed="64"/>
      </patternFill>
    </fill>
    <fill>
      <patternFill patternType="solid">
        <fgColor rgb="FFFFFFCC"/>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251">
    <xf numFmtId="0" fontId="0" fillId="0" borderId="0" xfId="0"/>
    <xf numFmtId="0" fontId="2" fillId="0" borderId="0" xfId="0" applyFont="1" applyFill="1" applyBorder="1"/>
    <xf numFmtId="0" fontId="2" fillId="0" borderId="0" xfId="0" applyFont="1" applyFill="1" applyBorder="1" applyAlignment="1">
      <alignment horizontal="center" vertical="center"/>
    </xf>
    <xf numFmtId="9" fontId="2" fillId="0" borderId="0" xfId="0" applyNumberFormat="1" applyFont="1" applyFill="1" applyBorder="1" applyAlignment="1">
      <alignment horizontal="left"/>
    </xf>
    <xf numFmtId="168" fontId="4" fillId="0" borderId="0" xfId="0" applyNumberFormat="1" applyFont="1" applyFill="1" applyBorder="1" applyAlignment="1">
      <alignment horizontal="left"/>
    </xf>
    <xf numFmtId="167" fontId="2" fillId="0" borderId="0" xfId="0" applyNumberFormat="1" applyFont="1" applyFill="1" applyBorder="1" applyAlignment="1">
      <alignment horizontal="left" vertical="center" wrapText="1"/>
    </xf>
    <xf numFmtId="165" fontId="2" fillId="0" borderId="1" xfId="3" applyNumberFormat="1" applyFont="1" applyFill="1" applyBorder="1" applyAlignment="1">
      <alignment horizontal="center" vertical="center"/>
    </xf>
    <xf numFmtId="165" fontId="2" fillId="0" borderId="1" xfId="0" applyNumberFormat="1" applyFont="1" applyFill="1" applyBorder="1" applyAlignment="1">
      <alignment horizontal="center" vertical="center"/>
    </xf>
    <xf numFmtId="165" fontId="2" fillId="0" borderId="4" xfId="3" applyNumberFormat="1" applyFont="1" applyFill="1" applyBorder="1" applyAlignment="1">
      <alignment horizontal="center" vertical="center"/>
    </xf>
    <xf numFmtId="165" fontId="2" fillId="0" borderId="4" xfId="0" applyNumberFormat="1" applyFont="1" applyFill="1" applyBorder="1" applyAlignment="1">
      <alignment horizontal="center" vertical="center"/>
    </xf>
    <xf numFmtId="0" fontId="3" fillId="0" borderId="12" xfId="0" applyFont="1" applyFill="1" applyBorder="1" applyAlignment="1">
      <alignment horizontal="center" vertical="center" wrapText="1"/>
    </xf>
    <xf numFmtId="10" fontId="2" fillId="0" borderId="13" xfId="3"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7" xfId="0" applyFont="1" applyFill="1" applyBorder="1" applyAlignment="1">
      <alignment horizontal="center" vertical="center"/>
    </xf>
    <xf numFmtId="0" fontId="2" fillId="0" borderId="28" xfId="0" applyFont="1" applyFill="1" applyBorder="1" applyAlignment="1">
      <alignment horizontal="center" vertical="center"/>
    </xf>
    <xf numFmtId="0" fontId="2" fillId="3" borderId="29" xfId="0" applyFont="1" applyFill="1" applyBorder="1" applyAlignment="1">
      <alignment horizontal="center" vertical="center"/>
    </xf>
    <xf numFmtId="0" fontId="2" fillId="2" borderId="2" xfId="0" applyFont="1" applyFill="1" applyBorder="1" applyAlignment="1">
      <alignment horizontal="center" vertical="center"/>
    </xf>
    <xf numFmtId="9" fontId="2" fillId="2" borderId="12" xfId="3" applyFont="1" applyFill="1" applyBorder="1" applyAlignment="1">
      <alignment horizontal="center" vertical="center"/>
    </xf>
    <xf numFmtId="10" fontId="2" fillId="2" borderId="13" xfId="3" applyNumberFormat="1" applyFont="1" applyFill="1" applyBorder="1" applyAlignment="1">
      <alignment horizontal="center" vertical="center" wrapText="1"/>
    </xf>
    <xf numFmtId="165" fontId="2" fillId="3" borderId="9" xfId="3" applyNumberFormat="1" applyFont="1" applyFill="1" applyBorder="1" applyAlignment="1">
      <alignment horizontal="center" vertical="center"/>
    </xf>
    <xf numFmtId="10" fontId="2" fillId="3" borderId="10" xfId="3" applyNumberFormat="1"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11" xfId="0" applyFont="1" applyFill="1" applyBorder="1" applyAlignment="1">
      <alignment horizontal="center" vertical="center" wrapText="1"/>
    </xf>
    <xf numFmtId="164" fontId="2" fillId="0" borderId="16" xfId="1" applyNumberFormat="1" applyFont="1" applyFill="1" applyBorder="1" applyAlignment="1">
      <alignment horizontal="center" vertical="center"/>
    </xf>
    <xf numFmtId="166" fontId="2" fillId="0" borderId="5" xfId="2" applyNumberFormat="1" applyFont="1" applyFill="1" applyBorder="1" applyAlignment="1">
      <alignment horizontal="center" vertical="center"/>
    </xf>
    <xf numFmtId="164" fontId="2" fillId="0" borderId="18" xfId="1" applyNumberFormat="1" applyFont="1" applyFill="1" applyBorder="1" applyAlignment="1">
      <alignment horizontal="center" vertical="center"/>
    </xf>
    <xf numFmtId="166" fontId="2" fillId="0" borderId="7" xfId="2" applyNumberFormat="1" applyFont="1" applyFill="1" applyBorder="1" applyAlignment="1">
      <alignment horizontal="center" vertical="center"/>
    </xf>
    <xf numFmtId="164" fontId="2" fillId="3" borderId="20" xfId="1" applyNumberFormat="1" applyFont="1" applyFill="1" applyBorder="1" applyAlignment="1">
      <alignment horizontal="center" vertical="center"/>
    </xf>
    <xf numFmtId="166" fontId="2" fillId="3" borderId="10" xfId="1" applyNumberFormat="1" applyFont="1" applyFill="1" applyBorder="1" applyAlignment="1">
      <alignment horizontal="center" vertical="center"/>
    </xf>
    <xf numFmtId="164" fontId="2" fillId="2" borderId="11" xfId="0" applyNumberFormat="1" applyFont="1" applyFill="1" applyBorder="1" applyAlignment="1">
      <alignment horizontal="center" vertical="center"/>
    </xf>
    <xf numFmtId="166" fontId="2" fillId="2" borderId="13" xfId="3" applyNumberFormat="1" applyFont="1" applyFill="1" applyBorder="1" applyAlignment="1">
      <alignment horizontal="center" vertical="center"/>
    </xf>
    <xf numFmtId="0" fontId="3" fillId="0" borderId="30" xfId="0" applyFont="1" applyFill="1" applyBorder="1" applyAlignment="1">
      <alignment horizontal="center" vertical="center" wrapText="1"/>
    </xf>
    <xf numFmtId="10" fontId="2" fillId="4" borderId="5" xfId="3" applyNumberFormat="1" applyFont="1" applyFill="1" applyBorder="1" applyAlignment="1">
      <alignment horizontal="center" vertical="center" wrapText="1"/>
    </xf>
    <xf numFmtId="10" fontId="2" fillId="4" borderId="7" xfId="3" applyNumberFormat="1" applyFont="1" applyFill="1" applyBorder="1" applyAlignment="1">
      <alignment horizontal="center" vertical="center" wrapText="1"/>
    </xf>
    <xf numFmtId="44" fontId="2" fillId="0" borderId="25" xfId="0" applyNumberFormat="1" applyFont="1" applyFill="1" applyBorder="1" applyAlignment="1">
      <alignment horizontal="center" vertical="center"/>
    </xf>
    <xf numFmtId="44" fontId="2" fillId="4" borderId="16" xfId="0" applyNumberFormat="1" applyFont="1" applyFill="1" applyBorder="1" applyAlignment="1">
      <alignment horizontal="center" vertical="center"/>
    </xf>
    <xf numFmtId="10" fontId="2" fillId="4" borderId="5" xfId="3" applyNumberFormat="1" applyFont="1" applyFill="1" applyBorder="1" applyAlignment="1">
      <alignment horizontal="center" vertical="center"/>
    </xf>
    <xf numFmtId="44" fontId="2" fillId="0" borderId="22" xfId="0" applyNumberFormat="1" applyFont="1" applyFill="1" applyBorder="1" applyAlignment="1">
      <alignment horizontal="center" vertical="center"/>
    </xf>
    <xf numFmtId="44" fontId="2" fillId="4" borderId="18" xfId="0" applyNumberFormat="1" applyFont="1" applyFill="1" applyBorder="1" applyAlignment="1">
      <alignment horizontal="center" vertical="center"/>
    </xf>
    <xf numFmtId="10" fontId="2" fillId="4" borderId="7" xfId="3" applyNumberFormat="1" applyFont="1" applyFill="1" applyBorder="1" applyAlignment="1">
      <alignment horizontal="center" vertical="center"/>
    </xf>
    <xf numFmtId="44" fontId="2" fillId="3" borderId="26" xfId="0" applyNumberFormat="1" applyFont="1" applyFill="1" applyBorder="1" applyAlignment="1">
      <alignment horizontal="center" vertical="center"/>
    </xf>
    <xf numFmtId="44" fontId="2" fillId="3" borderId="21" xfId="0" applyNumberFormat="1" applyFont="1" applyFill="1" applyBorder="1" applyAlignment="1">
      <alignment horizontal="center" vertical="center"/>
    </xf>
    <xf numFmtId="44" fontId="2" fillId="3" borderId="20" xfId="0" applyNumberFormat="1" applyFont="1" applyFill="1" applyBorder="1" applyAlignment="1">
      <alignment horizontal="center" vertical="center"/>
    </xf>
    <xf numFmtId="10" fontId="2" fillId="3" borderId="10" xfId="3" applyNumberFormat="1" applyFont="1" applyFill="1" applyBorder="1" applyAlignment="1">
      <alignment horizontal="center" vertical="center"/>
    </xf>
    <xf numFmtId="44" fontId="2" fillId="2" borderId="24" xfId="0" applyNumberFormat="1" applyFont="1" applyFill="1" applyBorder="1" applyAlignment="1">
      <alignment horizontal="center" vertical="center"/>
    </xf>
    <xf numFmtId="44" fontId="2" fillId="2" borderId="30" xfId="0" applyNumberFormat="1" applyFont="1" applyFill="1" applyBorder="1" applyAlignment="1">
      <alignment horizontal="center" vertical="center"/>
    </xf>
    <xf numFmtId="44" fontId="2" fillId="2" borderId="11" xfId="0" applyNumberFormat="1" applyFont="1" applyFill="1" applyBorder="1" applyAlignment="1">
      <alignment horizontal="center" vertical="center"/>
    </xf>
    <xf numFmtId="10" fontId="2" fillId="2" borderId="13" xfId="3" applyNumberFormat="1" applyFont="1" applyFill="1" applyBorder="1" applyAlignment="1">
      <alignment horizontal="center" vertical="center"/>
    </xf>
    <xf numFmtId="0" fontId="2" fillId="0" borderId="23" xfId="0" applyFont="1" applyFill="1" applyBorder="1" applyAlignment="1">
      <alignment horizontal="center" vertical="center" wrapText="1"/>
    </xf>
    <xf numFmtId="164" fontId="2" fillId="0" borderId="14" xfId="1" applyNumberFormat="1" applyFont="1" applyFill="1" applyBorder="1" applyAlignment="1">
      <alignment horizontal="center" vertical="center" wrapText="1"/>
    </xf>
    <xf numFmtId="164" fontId="2" fillId="0" borderId="31" xfId="1" applyNumberFormat="1" applyFont="1" applyFill="1" applyBorder="1" applyAlignment="1">
      <alignment horizontal="center" vertical="center" wrapText="1"/>
    </xf>
    <xf numFmtId="165" fontId="2" fillId="0" borderId="15" xfId="3" applyNumberFormat="1" applyFont="1" applyFill="1" applyBorder="1" applyAlignment="1">
      <alignment horizontal="center" vertical="center" wrapText="1"/>
    </xf>
    <xf numFmtId="164" fontId="2" fillId="0" borderId="23" xfId="1" applyNumberFormat="1" applyFont="1" applyFill="1" applyBorder="1" applyAlignment="1">
      <alignment horizontal="center" vertical="center" wrapText="1"/>
    </xf>
    <xf numFmtId="0" fontId="3" fillId="0" borderId="14" xfId="0" applyFont="1" applyFill="1" applyBorder="1" applyAlignment="1">
      <alignment horizontal="center" vertical="center" wrapText="1"/>
    </xf>
    <xf numFmtId="9" fontId="3" fillId="0" borderId="31" xfId="3" applyFont="1" applyFill="1" applyBorder="1" applyAlignment="1">
      <alignment horizontal="center" vertical="center" wrapText="1"/>
    </xf>
    <xf numFmtId="10" fontId="3" fillId="0" borderId="15" xfId="3" applyNumberFormat="1" applyFont="1" applyFill="1" applyBorder="1" applyAlignment="1">
      <alignment horizontal="center" vertical="center" wrapText="1"/>
    </xf>
    <xf numFmtId="164" fontId="3" fillId="0" borderId="14" xfId="1" applyNumberFormat="1" applyFont="1" applyFill="1" applyBorder="1" applyAlignment="1">
      <alignment horizontal="center" vertical="center" wrapText="1"/>
    </xf>
    <xf numFmtId="0" fontId="3" fillId="0" borderId="31" xfId="0" applyFont="1" applyFill="1" applyBorder="1" applyAlignment="1">
      <alignment horizontal="center" vertical="center" wrapText="1"/>
    </xf>
    <xf numFmtId="44" fontId="2" fillId="0" borderId="1" xfId="0" applyNumberFormat="1" applyFont="1" applyFill="1" applyBorder="1" applyAlignment="1">
      <alignment horizontal="center" vertical="center"/>
    </xf>
    <xf numFmtId="10" fontId="2" fillId="0" borderId="1" xfId="3" applyNumberFormat="1" applyFont="1" applyFill="1" applyBorder="1" applyAlignment="1">
      <alignment horizontal="center" vertical="center"/>
    </xf>
    <xf numFmtId="44" fontId="2" fillId="0" borderId="4" xfId="0" applyNumberFormat="1" applyFont="1" applyFill="1" applyBorder="1" applyAlignment="1">
      <alignment horizontal="center" vertical="center"/>
    </xf>
    <xf numFmtId="10" fontId="2" fillId="0" borderId="4" xfId="3" applyNumberFormat="1" applyFont="1" applyFill="1" applyBorder="1" applyAlignment="1">
      <alignment horizontal="center" vertical="center"/>
    </xf>
    <xf numFmtId="44" fontId="2" fillId="3" borderId="9" xfId="0" applyNumberFormat="1" applyFont="1" applyFill="1" applyBorder="1" applyAlignment="1">
      <alignment horizontal="center" vertical="center"/>
    </xf>
    <xf numFmtId="10" fontId="2" fillId="3" borderId="9" xfId="0" applyNumberFormat="1" applyFont="1" applyFill="1" applyBorder="1" applyAlignment="1">
      <alignment horizontal="center" vertical="center"/>
    </xf>
    <xf numFmtId="44" fontId="2" fillId="2" borderId="12" xfId="0" applyNumberFormat="1" applyFont="1" applyFill="1" applyBorder="1" applyAlignment="1">
      <alignment horizontal="center" vertical="center"/>
    </xf>
    <xf numFmtId="10" fontId="2" fillId="2" borderId="12" xfId="3" applyNumberFormat="1" applyFont="1" applyFill="1" applyBorder="1" applyAlignment="1">
      <alignment horizontal="center" vertical="center"/>
    </xf>
    <xf numFmtId="44" fontId="2" fillId="0" borderId="17" xfId="3" applyNumberFormat="1" applyFont="1" applyFill="1" applyBorder="1" applyAlignment="1">
      <alignment horizontal="center" vertical="center"/>
    </xf>
    <xf numFmtId="44" fontId="2" fillId="0" borderId="19" xfId="3" applyNumberFormat="1" applyFont="1" applyFill="1" applyBorder="1" applyAlignment="1">
      <alignment horizontal="center" vertical="center"/>
    </xf>
    <xf numFmtId="3" fontId="2" fillId="0" borderId="16" xfId="0" applyNumberFormat="1" applyFont="1" applyFill="1" applyBorder="1" applyAlignment="1">
      <alignment horizontal="center" vertical="center"/>
    </xf>
    <xf numFmtId="3" fontId="2" fillId="0" borderId="4" xfId="1" applyNumberFormat="1" applyFont="1" applyFill="1" applyBorder="1" applyAlignment="1">
      <alignment horizontal="center" vertical="center"/>
    </xf>
    <xf numFmtId="3" fontId="2" fillId="0" borderId="4" xfId="0" applyNumberFormat="1" applyFont="1" applyFill="1" applyBorder="1" applyAlignment="1">
      <alignment horizontal="center" vertical="center"/>
    </xf>
    <xf numFmtId="3" fontId="2" fillId="0" borderId="5" xfId="0" applyNumberFormat="1" applyFont="1" applyFill="1" applyBorder="1" applyAlignment="1">
      <alignment horizontal="center" vertical="center"/>
    </xf>
    <xf numFmtId="3" fontId="2" fillId="0" borderId="18" xfId="0" applyNumberFormat="1" applyFont="1" applyFill="1" applyBorder="1" applyAlignment="1">
      <alignment horizontal="center" vertical="center"/>
    </xf>
    <xf numFmtId="3" fontId="2" fillId="0" borderId="1" xfId="1" applyNumberFormat="1" applyFont="1" applyFill="1" applyBorder="1" applyAlignment="1">
      <alignment horizontal="center" vertical="center"/>
    </xf>
    <xf numFmtId="3" fontId="2" fillId="0" borderId="1" xfId="0" applyNumberFormat="1" applyFont="1" applyFill="1" applyBorder="1" applyAlignment="1">
      <alignment horizontal="center" vertical="center"/>
    </xf>
    <xf numFmtId="3" fontId="2" fillId="0" borderId="7" xfId="0" applyNumberFormat="1" applyFont="1" applyFill="1" applyBorder="1" applyAlignment="1">
      <alignment horizontal="center" vertical="center"/>
    </xf>
    <xf numFmtId="3" fontId="2" fillId="3" borderId="20" xfId="1" applyNumberFormat="1" applyFont="1" applyFill="1" applyBorder="1" applyAlignment="1">
      <alignment horizontal="center" vertical="center"/>
    </xf>
    <xf numFmtId="3" fontId="2" fillId="3" borderId="9" xfId="1" applyNumberFormat="1" applyFont="1" applyFill="1" applyBorder="1" applyAlignment="1">
      <alignment horizontal="center" vertical="center"/>
    </xf>
    <xf numFmtId="3" fontId="2" fillId="3" borderId="10" xfId="1" applyNumberFormat="1" applyFont="1" applyFill="1" applyBorder="1" applyAlignment="1">
      <alignment horizontal="center" vertical="center"/>
    </xf>
    <xf numFmtId="3" fontId="2" fillId="2" borderId="11" xfId="0" applyNumberFormat="1" applyFont="1" applyFill="1" applyBorder="1" applyAlignment="1">
      <alignment horizontal="center" vertical="center"/>
    </xf>
    <xf numFmtId="3" fontId="2" fillId="2" borderId="12" xfId="0" applyNumberFormat="1" applyFont="1" applyFill="1" applyBorder="1" applyAlignment="1">
      <alignment horizontal="center" vertical="center"/>
    </xf>
    <xf numFmtId="3" fontId="2" fillId="2" borderId="13" xfId="0" applyNumberFormat="1" applyFont="1" applyFill="1" applyBorder="1" applyAlignment="1">
      <alignment horizontal="center" vertical="center"/>
    </xf>
    <xf numFmtId="3" fontId="2" fillId="0" borderId="27" xfId="0" applyNumberFormat="1" applyFont="1" applyFill="1" applyBorder="1" applyAlignment="1">
      <alignment horizontal="center" vertical="center"/>
    </xf>
    <xf numFmtId="3" fontId="2" fillId="0" borderId="28" xfId="0" applyNumberFormat="1" applyFont="1" applyFill="1" applyBorder="1" applyAlignment="1">
      <alignment horizontal="center" vertical="center"/>
    </xf>
    <xf numFmtId="3" fontId="2" fillId="3" borderId="29" xfId="1" applyNumberFormat="1" applyFont="1" applyFill="1" applyBorder="1" applyAlignment="1">
      <alignment horizontal="center" vertical="center"/>
    </xf>
    <xf numFmtId="3" fontId="2" fillId="2" borderId="2" xfId="0" applyNumberFormat="1" applyFont="1" applyFill="1" applyBorder="1" applyAlignment="1">
      <alignment horizontal="center" vertical="center"/>
    </xf>
    <xf numFmtId="0" fontId="2" fillId="0" borderId="0" xfId="0" applyFont="1" applyFill="1" applyBorder="1" applyAlignment="1">
      <alignment horizontal="left"/>
    </xf>
    <xf numFmtId="0" fontId="5" fillId="0" borderId="0" xfId="0" applyFont="1" applyFill="1" applyBorder="1" applyAlignment="1">
      <alignment horizontal="center" vertical="center"/>
    </xf>
    <xf numFmtId="0" fontId="6" fillId="0" borderId="0" xfId="0" applyFont="1"/>
    <xf numFmtId="0" fontId="6" fillId="0" borderId="0" xfId="0" applyFont="1" applyFill="1"/>
    <xf numFmtId="0" fontId="6" fillId="0" borderId="0" xfId="0" applyFont="1" applyFill="1" applyBorder="1" applyAlignment="1">
      <alignment vertical="top"/>
    </xf>
    <xf numFmtId="0" fontId="5" fillId="6" borderId="23" xfId="0" applyFont="1" applyFill="1" applyBorder="1" applyAlignment="1">
      <alignment horizontal="center" vertical="center" wrapText="1"/>
    </xf>
    <xf numFmtId="166" fontId="5" fillId="7" borderId="27" xfId="2" applyNumberFormat="1" applyFont="1" applyFill="1" applyBorder="1" applyProtection="1"/>
    <xf numFmtId="10" fontId="5" fillId="6" borderId="16" xfId="2" applyNumberFormat="1" applyFont="1" applyFill="1" applyBorder="1" applyAlignment="1">
      <alignment horizontal="right"/>
    </xf>
    <xf numFmtId="168" fontId="5" fillId="6" borderId="5" xfId="2" applyNumberFormat="1" applyFont="1" applyFill="1" applyBorder="1" applyAlignment="1">
      <alignment horizontal="right"/>
    </xf>
    <xf numFmtId="166" fontId="5" fillId="7" borderId="28" xfId="2" applyNumberFormat="1" applyFont="1" applyFill="1" applyBorder="1" applyProtection="1"/>
    <xf numFmtId="10" fontId="5" fillId="6" borderId="18" xfId="2" applyNumberFormat="1" applyFont="1" applyFill="1" applyBorder="1" applyAlignment="1">
      <alignment horizontal="right"/>
    </xf>
    <xf numFmtId="168" fontId="5" fillId="6" borderId="7" xfId="2" applyNumberFormat="1" applyFont="1" applyFill="1" applyBorder="1" applyAlignment="1">
      <alignment horizontal="right"/>
    </xf>
    <xf numFmtId="10" fontId="5" fillId="6" borderId="20" xfId="2" applyNumberFormat="1" applyFont="1" applyFill="1" applyBorder="1" applyAlignment="1">
      <alignment horizontal="right"/>
    </xf>
    <xf numFmtId="168" fontId="5" fillId="6" borderId="10" xfId="2" applyNumberFormat="1" applyFont="1" applyFill="1" applyBorder="1" applyAlignment="1">
      <alignment horizontal="right"/>
    </xf>
    <xf numFmtId="166" fontId="5" fillId="5" borderId="0" xfId="2" applyNumberFormat="1" applyFont="1" applyFill="1" applyProtection="1"/>
    <xf numFmtId="0" fontId="6" fillId="0" borderId="6" xfId="0" applyFont="1" applyBorder="1" applyAlignment="1"/>
    <xf numFmtId="0" fontId="6" fillId="0" borderId="0" xfId="0" applyFont="1" applyAlignment="1"/>
    <xf numFmtId="0" fontId="0" fillId="0" borderId="0" xfId="0" applyFont="1"/>
    <xf numFmtId="0" fontId="8" fillId="0" borderId="0" xfId="0" applyFont="1" applyBorder="1" applyAlignment="1"/>
    <xf numFmtId="0" fontId="9" fillId="0" borderId="0" xfId="0" applyFont="1"/>
    <xf numFmtId="0" fontId="8" fillId="0" borderId="0" xfId="0" applyFont="1" applyBorder="1" applyAlignment="1">
      <alignment vertical="center"/>
    </xf>
    <xf numFmtId="0" fontId="9" fillId="0" borderId="0" xfId="0" applyFont="1" applyBorder="1"/>
    <xf numFmtId="0" fontId="9" fillId="0" borderId="0" xfId="0" applyFont="1" applyBorder="1" applyAlignment="1">
      <alignment horizontal="center"/>
    </xf>
    <xf numFmtId="0" fontId="9" fillId="0" borderId="0" xfId="0" applyFont="1" applyFill="1" applyBorder="1" applyAlignment="1">
      <alignment horizontal="center"/>
    </xf>
    <xf numFmtId="0" fontId="9" fillId="0" borderId="0" xfId="0" applyFont="1" applyFill="1"/>
    <xf numFmtId="0" fontId="9" fillId="0" borderId="0" xfId="0" applyFont="1" applyFill="1" applyBorder="1"/>
    <xf numFmtId="0" fontId="8" fillId="0" borderId="0" xfId="0" applyFont="1" applyFill="1" applyBorder="1" applyAlignment="1">
      <alignment horizontal="center" vertical="center" textRotation="90" wrapText="1"/>
    </xf>
    <xf numFmtId="0" fontId="10" fillId="5" borderId="11" xfId="0" applyFont="1" applyFill="1" applyBorder="1" applyAlignment="1">
      <alignment horizontal="center" vertical="center" textRotation="90" wrapText="1"/>
    </xf>
    <xf numFmtId="0" fontId="10" fillId="5" borderId="12" xfId="0" applyFont="1" applyFill="1" applyBorder="1" applyAlignment="1">
      <alignment horizontal="center" vertical="center" wrapText="1"/>
    </xf>
    <xf numFmtId="0" fontId="11" fillId="6" borderId="12" xfId="0" applyFont="1" applyFill="1" applyBorder="1" applyAlignment="1">
      <alignment horizontal="center" vertical="center" wrapText="1"/>
    </xf>
    <xf numFmtId="0" fontId="10" fillId="5" borderId="13" xfId="0" applyFont="1" applyFill="1" applyBorder="1" applyAlignment="1">
      <alignment horizontal="center" vertical="center" wrapText="1"/>
    </xf>
    <xf numFmtId="0" fontId="11" fillId="6" borderId="2" xfId="0" applyFont="1" applyFill="1" applyBorder="1" applyAlignment="1">
      <alignment horizontal="center" vertical="center" wrapText="1"/>
    </xf>
    <xf numFmtId="0" fontId="8" fillId="0" borderId="0" xfId="0" applyFont="1" applyFill="1" applyBorder="1" applyAlignment="1">
      <alignment vertical="center" textRotation="90"/>
    </xf>
    <xf numFmtId="0" fontId="6" fillId="5" borderId="40" xfId="0" applyFont="1" applyFill="1" applyBorder="1" applyAlignment="1">
      <alignment horizontal="center" vertical="center" wrapText="1"/>
    </xf>
    <xf numFmtId="49" fontId="6" fillId="5" borderId="16" xfId="0" applyNumberFormat="1" applyFont="1" applyFill="1" applyBorder="1" applyAlignment="1">
      <alignment horizontal="left" vertical="center" wrapText="1"/>
    </xf>
    <xf numFmtId="166" fontId="6" fillId="7" borderId="17" xfId="2" applyNumberFormat="1" applyFont="1" applyFill="1" applyBorder="1"/>
    <xf numFmtId="166" fontId="6" fillId="5" borderId="4" xfId="2" applyNumberFormat="1" applyFont="1" applyFill="1" applyBorder="1"/>
    <xf numFmtId="10" fontId="6" fillId="5" borderId="4" xfId="3" applyNumberFormat="1" applyFont="1" applyFill="1" applyBorder="1"/>
    <xf numFmtId="166" fontId="5" fillId="6" borderId="4" xfId="2" applyNumberFormat="1" applyFont="1" applyFill="1" applyBorder="1"/>
    <xf numFmtId="10" fontId="6" fillId="5" borderId="5" xfId="3" applyNumberFormat="1" applyFont="1" applyFill="1" applyBorder="1"/>
    <xf numFmtId="44" fontId="0" fillId="0" borderId="0" xfId="0" applyNumberFormat="1" applyFont="1"/>
    <xf numFmtId="0" fontId="6" fillId="5" borderId="42" xfId="0" applyFont="1" applyFill="1" applyBorder="1" applyAlignment="1">
      <alignment horizontal="center" vertical="center" wrapText="1"/>
    </xf>
    <xf numFmtId="49" fontId="6" fillId="5" borderId="18" xfId="0" applyNumberFormat="1" applyFont="1" applyFill="1" applyBorder="1" applyAlignment="1">
      <alignment horizontal="left" vertical="center" wrapText="1"/>
    </xf>
    <xf numFmtId="166" fontId="6" fillId="7" borderId="19" xfId="2" applyNumberFormat="1" applyFont="1" applyFill="1" applyBorder="1"/>
    <xf numFmtId="166" fontId="6" fillId="5" borderId="43" xfId="2" applyNumberFormat="1" applyFont="1" applyFill="1" applyBorder="1"/>
    <xf numFmtId="10" fontId="6" fillId="5" borderId="43" xfId="3" applyNumberFormat="1" applyFont="1" applyFill="1" applyBorder="1"/>
    <xf numFmtId="166" fontId="5" fillId="6" borderId="1" xfId="2" applyNumberFormat="1" applyFont="1" applyFill="1" applyBorder="1"/>
    <xf numFmtId="10" fontId="6" fillId="5" borderId="44" xfId="3" applyNumberFormat="1" applyFont="1" applyFill="1" applyBorder="1"/>
    <xf numFmtId="0" fontId="6" fillId="5" borderId="33" xfId="0" applyFont="1" applyFill="1" applyBorder="1" applyAlignment="1">
      <alignment horizontal="center" vertical="center" wrapText="1"/>
    </xf>
    <xf numFmtId="49" fontId="6" fillId="5" borderId="20" xfId="0" applyNumberFormat="1" applyFont="1" applyFill="1" applyBorder="1" applyAlignment="1">
      <alignment horizontal="left" vertical="center" wrapText="1"/>
    </xf>
    <xf numFmtId="166" fontId="6" fillId="7" borderId="21" xfId="2" applyNumberFormat="1" applyFont="1" applyFill="1" applyBorder="1"/>
    <xf numFmtId="166" fontId="6" fillId="5" borderId="46" xfId="2" applyNumberFormat="1" applyFont="1" applyFill="1" applyBorder="1"/>
    <xf numFmtId="10" fontId="6" fillId="5" borderId="46" xfId="3" applyNumberFormat="1" applyFont="1" applyFill="1" applyBorder="1"/>
    <xf numFmtId="166" fontId="5" fillId="6" borderId="9" xfId="2" applyNumberFormat="1" applyFont="1" applyFill="1" applyBorder="1"/>
    <xf numFmtId="10" fontId="6" fillId="5" borderId="47" xfId="3" applyNumberFormat="1" applyFont="1" applyFill="1" applyBorder="1"/>
    <xf numFmtId="0" fontId="9" fillId="0" borderId="0" xfId="0" applyFont="1" applyFill="1" applyBorder="1" applyAlignment="1"/>
    <xf numFmtId="0" fontId="6" fillId="5" borderId="0" xfId="0" applyFont="1" applyFill="1" applyBorder="1" applyAlignment="1">
      <alignment horizontal="center" vertical="center" wrapText="1"/>
    </xf>
    <xf numFmtId="49" fontId="6" fillId="5" borderId="0" xfId="0" applyNumberFormat="1" applyFont="1" applyFill="1" applyBorder="1" applyAlignment="1">
      <alignment horizontal="left" vertical="center" wrapText="1"/>
    </xf>
    <xf numFmtId="166" fontId="6" fillId="5" borderId="0" xfId="2" applyNumberFormat="1" applyFont="1" applyFill="1" applyBorder="1"/>
    <xf numFmtId="166" fontId="6" fillId="5" borderId="12" xfId="2" applyNumberFormat="1" applyFont="1" applyFill="1" applyBorder="1"/>
    <xf numFmtId="166" fontId="6" fillId="5" borderId="30" xfId="2" applyNumberFormat="1" applyFont="1" applyFill="1" applyBorder="1"/>
    <xf numFmtId="9" fontId="6" fillId="5" borderId="32" xfId="3" applyFont="1" applyFill="1" applyBorder="1"/>
    <xf numFmtId="166" fontId="6" fillId="5" borderId="32" xfId="2" applyNumberFormat="1" applyFont="1" applyFill="1" applyBorder="1"/>
    <xf numFmtId="166" fontId="5" fillId="0" borderId="32" xfId="2" applyNumberFormat="1" applyFont="1" applyFill="1" applyBorder="1"/>
    <xf numFmtId="10" fontId="6" fillId="5" borderId="32" xfId="3" applyNumberFormat="1" applyFont="1" applyFill="1" applyBorder="1"/>
    <xf numFmtId="166" fontId="5" fillId="0" borderId="0" xfId="0" applyNumberFormat="1" applyFont="1" applyFill="1" applyBorder="1"/>
    <xf numFmtId="0" fontId="6" fillId="5" borderId="16" xfId="0" applyFont="1" applyFill="1" applyBorder="1" applyAlignment="1">
      <alignment horizontal="center" vertical="center" wrapText="1"/>
    </xf>
    <xf numFmtId="49" fontId="6" fillId="5" borderId="4" xfId="0" applyNumberFormat="1" applyFont="1" applyFill="1" applyBorder="1" applyAlignment="1">
      <alignment horizontal="left" vertical="center" wrapText="1"/>
    </xf>
    <xf numFmtId="0" fontId="6" fillId="5" borderId="18" xfId="0" applyFont="1" applyFill="1" applyBorder="1" applyAlignment="1">
      <alignment horizontal="center" vertical="center" wrapText="1"/>
    </xf>
    <xf numFmtId="49" fontId="6" fillId="5" borderId="1" xfId="0" applyNumberFormat="1" applyFont="1" applyFill="1" applyBorder="1" applyAlignment="1">
      <alignment horizontal="left" vertical="center" wrapText="1"/>
    </xf>
    <xf numFmtId="0" fontId="6" fillId="5" borderId="20" xfId="0" applyFont="1" applyFill="1" applyBorder="1" applyAlignment="1">
      <alignment horizontal="center" vertical="center" wrapText="1"/>
    </xf>
    <xf numFmtId="49" fontId="6" fillId="5" borderId="9" xfId="0" applyNumberFormat="1" applyFont="1" applyFill="1" applyBorder="1" applyAlignment="1">
      <alignment horizontal="left" vertical="center" wrapText="1"/>
    </xf>
    <xf numFmtId="166" fontId="6" fillId="5" borderId="9" xfId="2" applyNumberFormat="1" applyFont="1" applyFill="1" applyBorder="1"/>
    <xf numFmtId="0" fontId="8" fillId="0" borderId="0" xfId="0" applyFont="1" applyBorder="1" applyAlignment="1">
      <alignment horizontal="center" vertical="center" textRotation="90"/>
    </xf>
    <xf numFmtId="0" fontId="6" fillId="5" borderId="0" xfId="0" applyFont="1" applyFill="1"/>
    <xf numFmtId="166" fontId="6" fillId="5" borderId="0" xfId="2" applyNumberFormat="1" applyFont="1" applyFill="1"/>
    <xf numFmtId="166" fontId="5" fillId="5" borderId="0" xfId="2" applyNumberFormat="1" applyFont="1" applyFill="1"/>
    <xf numFmtId="0" fontId="9" fillId="0" borderId="0" xfId="0" applyFont="1" applyAlignment="1">
      <alignment horizontal="center"/>
    </xf>
    <xf numFmtId="0" fontId="6" fillId="5" borderId="16" xfId="0" applyFont="1" applyFill="1" applyBorder="1" applyAlignment="1">
      <alignment horizontal="left" vertical="center" wrapText="1"/>
    </xf>
    <xf numFmtId="9" fontId="6" fillId="5" borderId="4" xfId="3" applyFont="1" applyFill="1" applyBorder="1"/>
    <xf numFmtId="166" fontId="9" fillId="0" borderId="0" xfId="0" applyNumberFormat="1" applyFont="1" applyFill="1"/>
    <xf numFmtId="0" fontId="6" fillId="5" borderId="20" xfId="0" applyFont="1" applyFill="1" applyBorder="1" applyAlignment="1">
      <alignment horizontal="left" vertical="center" wrapText="1"/>
    </xf>
    <xf numFmtId="9" fontId="6" fillId="5" borderId="9" xfId="3" applyFont="1" applyFill="1" applyBorder="1"/>
    <xf numFmtId="10" fontId="6" fillId="5" borderId="10" xfId="3" applyNumberFormat="1" applyFont="1" applyFill="1" applyBorder="1"/>
    <xf numFmtId="0" fontId="6" fillId="5" borderId="0" xfId="0" applyFont="1" applyFill="1" applyBorder="1" applyAlignment="1">
      <alignment horizontal="left" vertical="center" wrapText="1"/>
    </xf>
    <xf numFmtId="9" fontId="6" fillId="5" borderId="0" xfId="3" applyFont="1" applyFill="1" applyBorder="1"/>
    <xf numFmtId="44" fontId="6" fillId="5" borderId="0" xfId="2" applyNumberFormat="1" applyFont="1" applyFill="1" applyBorder="1"/>
    <xf numFmtId="166" fontId="5" fillId="5" borderId="0" xfId="2" applyNumberFormat="1" applyFont="1" applyFill="1" applyBorder="1"/>
    <xf numFmtId="10" fontId="6" fillId="5" borderId="0" xfId="3" applyNumberFormat="1" applyFont="1" applyFill="1" applyBorder="1"/>
    <xf numFmtId="0" fontId="8" fillId="0" borderId="0" xfId="0" applyFont="1" applyBorder="1" applyAlignment="1">
      <alignment horizontal="center"/>
    </xf>
    <xf numFmtId="166" fontId="6" fillId="5" borderId="17" xfId="3" applyNumberFormat="1" applyFont="1" applyFill="1" applyBorder="1"/>
    <xf numFmtId="44" fontId="6" fillId="5" borderId="25" xfId="3" applyNumberFormat="1" applyFont="1" applyFill="1" applyBorder="1"/>
    <xf numFmtId="0" fontId="6" fillId="5" borderId="18" xfId="0" applyFont="1" applyFill="1" applyBorder="1" applyAlignment="1">
      <alignment horizontal="left" vertical="center" wrapText="1"/>
    </xf>
    <xf numFmtId="166" fontId="6" fillId="5" borderId="1" xfId="2" applyNumberFormat="1" applyFont="1" applyFill="1" applyBorder="1"/>
    <xf numFmtId="166" fontId="6" fillId="5" borderId="19" xfId="0" applyNumberFormat="1" applyFont="1" applyFill="1" applyBorder="1"/>
    <xf numFmtId="166" fontId="6" fillId="5" borderId="48" xfId="0" applyNumberFormat="1" applyFont="1" applyFill="1" applyBorder="1"/>
    <xf numFmtId="166" fontId="6" fillId="5" borderId="48" xfId="3" applyNumberFormat="1" applyFont="1" applyFill="1" applyBorder="1"/>
    <xf numFmtId="44" fontId="6" fillId="5" borderId="22" xfId="3" applyNumberFormat="1" applyFont="1" applyFill="1" applyBorder="1"/>
    <xf numFmtId="10" fontId="6" fillId="5" borderId="7" xfId="3" applyNumberFormat="1" applyFont="1" applyFill="1" applyBorder="1"/>
    <xf numFmtId="0" fontId="6" fillId="5" borderId="0" xfId="0" applyFont="1" applyFill="1" applyBorder="1" applyAlignment="1">
      <alignment horizontal="center"/>
    </xf>
    <xf numFmtId="0" fontId="6" fillId="3" borderId="18" xfId="0" applyFont="1" applyFill="1" applyBorder="1" applyAlignment="1">
      <alignment horizontal="center" vertical="center" wrapText="1"/>
    </xf>
    <xf numFmtId="166" fontId="6" fillId="3" borderId="1" xfId="2" applyNumberFormat="1" applyFont="1" applyFill="1" applyBorder="1"/>
    <xf numFmtId="166" fontId="6" fillId="3" borderId="19" xfId="0" applyNumberFormat="1" applyFont="1" applyFill="1" applyBorder="1"/>
    <xf numFmtId="166" fontId="6" fillId="3" borderId="48" xfId="0" applyNumberFormat="1" applyFont="1" applyFill="1" applyBorder="1"/>
    <xf numFmtId="166" fontId="6" fillId="3" borderId="48" xfId="3" applyNumberFormat="1" applyFont="1" applyFill="1" applyBorder="1"/>
    <xf numFmtId="44" fontId="6" fillId="3" borderId="22" xfId="3" applyNumberFormat="1" applyFont="1" applyFill="1" applyBorder="1"/>
    <xf numFmtId="166" fontId="6" fillId="7" borderId="9" xfId="2" applyNumberFormat="1" applyFont="1" applyFill="1" applyBorder="1"/>
    <xf numFmtId="166" fontId="6" fillId="5" borderId="21" xfId="0" applyNumberFormat="1" applyFont="1" applyFill="1" applyBorder="1"/>
    <xf numFmtId="166" fontId="6" fillId="5" borderId="34" xfId="0" applyNumberFormat="1" applyFont="1" applyFill="1" applyBorder="1"/>
    <xf numFmtId="166" fontId="6" fillId="5" borderId="34" xfId="3" applyNumberFormat="1" applyFont="1" applyFill="1" applyBorder="1"/>
    <xf numFmtId="44" fontId="6" fillId="5" borderId="26" xfId="3" applyNumberFormat="1" applyFont="1" applyFill="1" applyBorder="1"/>
    <xf numFmtId="0" fontId="9" fillId="0" borderId="0" xfId="0" applyFont="1" applyFill="1" applyAlignment="1">
      <alignment horizontal="center"/>
    </xf>
    <xf numFmtId="0" fontId="5" fillId="5" borderId="0" xfId="0" applyFont="1" applyFill="1" applyBorder="1" applyAlignment="1">
      <alignment horizontal="left" vertical="top" wrapText="1"/>
    </xf>
    <xf numFmtId="166" fontId="6" fillId="5" borderId="0" xfId="0" applyNumberFormat="1" applyFont="1" applyFill="1" applyBorder="1"/>
    <xf numFmtId="166" fontId="6" fillId="5" borderId="0" xfId="3" applyNumberFormat="1" applyFont="1" applyFill="1" applyBorder="1"/>
    <xf numFmtId="44" fontId="6" fillId="5" borderId="0" xfId="3" applyNumberFormat="1" applyFont="1" applyFill="1" applyBorder="1"/>
    <xf numFmtId="0" fontId="8" fillId="0" borderId="0" xfId="0" applyFont="1"/>
    <xf numFmtId="167" fontId="0" fillId="0" borderId="0" xfId="0" applyNumberFormat="1" applyFont="1"/>
    <xf numFmtId="3" fontId="0" fillId="0" borderId="0" xfId="0" applyNumberFormat="1" applyFont="1"/>
    <xf numFmtId="8" fontId="0" fillId="0" borderId="0" xfId="0" applyNumberFormat="1" applyFont="1"/>
    <xf numFmtId="0" fontId="0" fillId="0" borderId="0" xfId="0" applyFont="1" applyAlignment="1">
      <alignment wrapText="1"/>
    </xf>
    <xf numFmtId="0" fontId="5" fillId="0" borderId="0" xfId="0" applyFont="1" applyFill="1" applyBorder="1" applyAlignment="1">
      <alignment horizontal="center" vertical="center"/>
    </xf>
    <xf numFmtId="166" fontId="8" fillId="5" borderId="4" xfId="2" applyNumberFormat="1" applyFont="1" applyFill="1" applyBorder="1"/>
    <xf numFmtId="166" fontId="8" fillId="5" borderId="1" xfId="2" applyNumberFormat="1" applyFont="1" applyFill="1" applyBorder="1"/>
    <xf numFmtId="166" fontId="8" fillId="3" borderId="1" xfId="2" applyNumberFormat="1" applyFont="1" applyFill="1" applyBorder="1"/>
    <xf numFmtId="166" fontId="8" fillId="5" borderId="9" xfId="2" applyNumberFormat="1" applyFont="1" applyFill="1" applyBorder="1"/>
    <xf numFmtId="166" fontId="9" fillId="5" borderId="4" xfId="2" applyNumberFormat="1" applyFont="1" applyFill="1" applyBorder="1"/>
    <xf numFmtId="3" fontId="2" fillId="0" borderId="9" xfId="1" applyNumberFormat="1" applyFont="1" applyFill="1" applyBorder="1" applyAlignment="1">
      <alignment horizontal="center" vertical="center"/>
    </xf>
    <xf numFmtId="44" fontId="2" fillId="0" borderId="0" xfId="0" applyNumberFormat="1" applyFont="1" applyFill="1" applyBorder="1" applyAlignment="1">
      <alignment horizontal="center" vertical="center"/>
    </xf>
    <xf numFmtId="165" fontId="2" fillId="0" borderId="0" xfId="3" applyNumberFormat="1" applyFont="1" applyFill="1" applyBorder="1" applyAlignment="1">
      <alignment horizontal="center" vertical="center"/>
    </xf>
    <xf numFmtId="165" fontId="2" fillId="2" borderId="12" xfId="3" applyNumberFormat="1" applyFont="1" applyFill="1" applyBorder="1" applyAlignment="1">
      <alignment horizontal="center" vertical="center"/>
    </xf>
    <xf numFmtId="0" fontId="2" fillId="0" borderId="0" xfId="0" applyFont="1" applyFill="1" applyBorder="1" applyAlignment="1"/>
    <xf numFmtId="167" fontId="4" fillId="0" borderId="0" xfId="0" applyNumberFormat="1" applyFont="1" applyFill="1" applyBorder="1" applyAlignment="1" applyProtection="1">
      <alignment horizontal="left"/>
      <protection locked="0"/>
    </xf>
    <xf numFmtId="166" fontId="5" fillId="0" borderId="28" xfId="2" applyNumberFormat="1" applyFont="1" applyFill="1" applyBorder="1" applyProtection="1"/>
    <xf numFmtId="166" fontId="5" fillId="0" borderId="27" xfId="2" applyNumberFormat="1" applyFont="1" applyFill="1" applyBorder="1" applyProtection="1"/>
    <xf numFmtId="167" fontId="0" fillId="0" borderId="0" xfId="0" applyNumberFormat="1"/>
    <xf numFmtId="166" fontId="5" fillId="7" borderId="29" xfId="2" applyNumberFormat="1" applyFont="1" applyFill="1" applyBorder="1" applyProtection="1"/>
    <xf numFmtId="166" fontId="5" fillId="0" borderId="2" xfId="2" applyNumberFormat="1" applyFont="1" applyFill="1" applyBorder="1" applyProtection="1"/>
    <xf numFmtId="0" fontId="2" fillId="0" borderId="3" xfId="0" applyFont="1" applyFill="1" applyBorder="1" applyAlignment="1">
      <alignment horizontal="center" vertical="center" textRotation="90" wrapText="1"/>
    </xf>
    <xf numFmtId="0" fontId="2" fillId="0" borderId="6" xfId="0" applyFont="1" applyFill="1" applyBorder="1" applyAlignment="1">
      <alignment horizontal="center" vertical="center" textRotation="90" wrapText="1"/>
    </xf>
    <xf numFmtId="0" fontId="2" fillId="0" borderId="8" xfId="0" applyFont="1" applyFill="1" applyBorder="1" applyAlignment="1">
      <alignment horizontal="center" vertical="center" textRotation="90" wrapText="1"/>
    </xf>
    <xf numFmtId="0" fontId="5" fillId="0" borderId="0" xfId="0" applyFont="1" applyFill="1" applyBorder="1" applyAlignment="1">
      <alignment horizontal="center" vertical="center"/>
    </xf>
    <xf numFmtId="0" fontId="2" fillId="0" borderId="0" xfId="0" applyFont="1" applyFill="1" applyBorder="1" applyAlignment="1">
      <alignment horizontal="right"/>
    </xf>
    <xf numFmtId="0" fontId="4" fillId="0" borderId="0" xfId="0" applyFont="1" applyFill="1" applyBorder="1" applyAlignment="1">
      <alignment horizontal="right" vertical="center"/>
    </xf>
    <xf numFmtId="44" fontId="2" fillId="0" borderId="0" xfId="0" applyNumberFormat="1" applyFont="1" applyFill="1" applyBorder="1" applyAlignment="1">
      <alignment horizontal="right" vertical="center" wrapText="1"/>
    </xf>
    <xf numFmtId="0" fontId="2" fillId="0" borderId="0" xfId="0" applyFont="1" applyFill="1" applyBorder="1" applyAlignment="1">
      <alignment horizontal="left"/>
    </xf>
    <xf numFmtId="0" fontId="7" fillId="0" borderId="35" xfId="0" applyFont="1" applyBorder="1" applyAlignment="1">
      <alignment horizontal="center" vertical="center"/>
    </xf>
    <xf numFmtId="0" fontId="9" fillId="7" borderId="0" xfId="0" applyFont="1" applyFill="1" applyBorder="1" applyAlignment="1">
      <alignment horizontal="justify" vertical="center" wrapText="1"/>
    </xf>
    <xf numFmtId="0" fontId="8" fillId="4" borderId="3" xfId="0" applyFont="1" applyFill="1" applyBorder="1" applyAlignment="1">
      <alignment horizontal="center" vertical="center" wrapText="1"/>
    </xf>
    <xf numFmtId="0" fontId="8" fillId="4" borderId="36" xfId="0" applyFont="1" applyFill="1" applyBorder="1" applyAlignment="1">
      <alignment horizontal="center" vertical="center" wrapText="1"/>
    </xf>
    <xf numFmtId="0" fontId="8" fillId="4" borderId="37"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35" xfId="0" applyFont="1" applyFill="1" applyBorder="1" applyAlignment="1">
      <alignment horizontal="center" vertical="center" wrapText="1"/>
    </xf>
    <xf numFmtId="0" fontId="8" fillId="4" borderId="38" xfId="0" applyFont="1" applyFill="1" applyBorder="1" applyAlignment="1">
      <alignment horizontal="center" vertical="center" wrapText="1"/>
    </xf>
    <xf numFmtId="0" fontId="8" fillId="4" borderId="23" xfId="0" applyFont="1" applyFill="1" applyBorder="1" applyAlignment="1">
      <alignment horizontal="center" vertical="center"/>
    </xf>
    <xf numFmtId="0" fontId="8" fillId="4" borderId="39" xfId="0" applyFont="1" applyFill="1" applyBorder="1" applyAlignment="1">
      <alignment horizontal="center" vertical="center"/>
    </xf>
    <xf numFmtId="0" fontId="8" fillId="4" borderId="3" xfId="0" applyFont="1" applyFill="1" applyBorder="1" applyAlignment="1">
      <alignment horizontal="center" vertical="center"/>
    </xf>
    <xf numFmtId="0" fontId="8" fillId="4" borderId="37" xfId="0" applyFont="1" applyFill="1" applyBorder="1" applyAlignment="1">
      <alignment horizontal="center" vertical="center"/>
    </xf>
    <xf numFmtId="0" fontId="8" fillId="4" borderId="8" xfId="0" applyFont="1" applyFill="1" applyBorder="1" applyAlignment="1">
      <alignment horizontal="center" vertical="center"/>
    </xf>
    <xf numFmtId="0" fontId="8" fillId="4" borderId="38" xfId="0" applyFont="1" applyFill="1" applyBorder="1" applyAlignment="1">
      <alignment horizontal="center" vertical="center"/>
    </xf>
    <xf numFmtId="0" fontId="8" fillId="3" borderId="14" xfId="0" applyFont="1" applyFill="1" applyBorder="1" applyAlignment="1">
      <alignment horizontal="center" vertical="center" textRotation="90"/>
    </xf>
    <xf numFmtId="0" fontId="8" fillId="3" borderId="41" xfId="0" applyFont="1" applyFill="1" applyBorder="1" applyAlignment="1">
      <alignment horizontal="center" vertical="center" textRotation="90"/>
    </xf>
    <xf numFmtId="0" fontId="8" fillId="3" borderId="45" xfId="0" applyFont="1" applyFill="1" applyBorder="1" applyAlignment="1">
      <alignment horizontal="center" vertical="center" textRotation="90"/>
    </xf>
    <xf numFmtId="169" fontId="14" fillId="0" borderId="32" xfId="0" applyNumberFormat="1" applyFont="1" applyBorder="1" applyAlignment="1">
      <alignment horizontal="left"/>
    </xf>
    <xf numFmtId="169" fontId="0" fillId="0" borderId="32" xfId="0" applyNumberFormat="1" applyBorder="1" applyAlignment="1"/>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9</xdr:col>
      <xdr:colOff>355759</xdr:colOff>
      <xdr:row>16</xdr:row>
      <xdr:rowOff>110967</xdr:rowOff>
    </xdr:from>
    <xdr:ext cx="184731" cy="264560"/>
    <xdr:sp macro="" textlink="">
      <xdr:nvSpPr>
        <xdr:cNvPr id="2" name="TextBox 1"/>
        <xdr:cNvSpPr txBox="1"/>
      </xdr:nvSpPr>
      <xdr:spPr>
        <a:xfrm>
          <a:off x="8794909" y="39495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355759</xdr:colOff>
      <xdr:row>16</xdr:row>
      <xdr:rowOff>110967</xdr:rowOff>
    </xdr:from>
    <xdr:ext cx="184731" cy="264560"/>
    <xdr:sp macro="" textlink="">
      <xdr:nvSpPr>
        <xdr:cNvPr id="3" name="TextBox 2"/>
        <xdr:cNvSpPr txBox="1"/>
      </xdr:nvSpPr>
      <xdr:spPr>
        <a:xfrm>
          <a:off x="8794909" y="39495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355759</xdr:colOff>
      <xdr:row>16</xdr:row>
      <xdr:rowOff>110967</xdr:rowOff>
    </xdr:from>
    <xdr:ext cx="184731" cy="264560"/>
    <xdr:sp macro="" textlink="">
      <xdr:nvSpPr>
        <xdr:cNvPr id="4" name="TextBox 3"/>
        <xdr:cNvSpPr txBox="1"/>
      </xdr:nvSpPr>
      <xdr:spPr>
        <a:xfrm>
          <a:off x="8794909" y="39495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morgan\AppData\Local\Microsoft\Windows\INetCache\Content.Outlook\0TEIB51U\2021%20HTC%20RA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bles"/>
      <sheetName val="HOME SF"/>
      <sheetName val="HTF"/>
      <sheetName val="HOME MF"/>
      <sheetName val="HTC"/>
      <sheetName val="FINAL for HTC"/>
    </sheetNames>
    <sheetDataSet>
      <sheetData sheetId="0">
        <row r="7">
          <cell r="B7">
            <v>198173</v>
          </cell>
          <cell r="D7">
            <v>40017</v>
          </cell>
          <cell r="F7">
            <v>4492</v>
          </cell>
          <cell r="J7">
            <v>8591</v>
          </cell>
        </row>
        <row r="8">
          <cell r="B8">
            <v>100142</v>
          </cell>
          <cell r="D8">
            <v>18125</v>
          </cell>
          <cell r="F8">
            <v>1402</v>
          </cell>
          <cell r="J8">
            <v>3983</v>
          </cell>
        </row>
        <row r="9">
          <cell r="B9">
            <v>2233165</v>
          </cell>
          <cell r="D9">
            <v>457642</v>
          </cell>
          <cell r="F9">
            <v>77940</v>
          </cell>
          <cell r="J9">
            <v>80382</v>
          </cell>
        </row>
        <row r="10">
          <cell r="B10">
            <v>207203</v>
          </cell>
          <cell r="D10">
            <v>29251</v>
          </cell>
          <cell r="F10">
            <v>2939</v>
          </cell>
          <cell r="J10">
            <v>6082</v>
          </cell>
        </row>
        <row r="11">
          <cell r="B11">
            <v>135302</v>
          </cell>
          <cell r="D11">
            <v>19921</v>
          </cell>
          <cell r="F11">
            <v>1630</v>
          </cell>
          <cell r="J11">
            <v>3258</v>
          </cell>
        </row>
        <row r="12">
          <cell r="B12">
            <v>2195301</v>
          </cell>
          <cell r="D12">
            <v>414865</v>
          </cell>
          <cell r="F12">
            <v>73495</v>
          </cell>
          <cell r="J12">
            <v>81787</v>
          </cell>
        </row>
        <row r="13">
          <cell r="B13">
            <v>540304</v>
          </cell>
          <cell r="D13">
            <v>143208</v>
          </cell>
          <cell r="F13">
            <v>19996</v>
          </cell>
          <cell r="J13">
            <v>22310</v>
          </cell>
        </row>
        <row r="14">
          <cell r="B14">
            <v>338791</v>
          </cell>
          <cell r="D14">
            <v>68023</v>
          </cell>
          <cell r="F14">
            <v>6493</v>
          </cell>
          <cell r="J14">
            <v>12962</v>
          </cell>
        </row>
        <row r="15">
          <cell r="B15">
            <v>793672</v>
          </cell>
          <cell r="D15">
            <v>132528</v>
          </cell>
          <cell r="F15">
            <v>18118</v>
          </cell>
          <cell r="J15">
            <v>24890</v>
          </cell>
        </row>
        <row r="16">
          <cell r="B16">
            <v>190242</v>
          </cell>
          <cell r="D16">
            <v>32789</v>
          </cell>
          <cell r="F16">
            <v>5462</v>
          </cell>
          <cell r="J16">
            <v>5969</v>
          </cell>
        </row>
        <row r="17">
          <cell r="B17">
            <v>875159</v>
          </cell>
          <cell r="D17">
            <v>68151</v>
          </cell>
          <cell r="F17">
            <v>23829</v>
          </cell>
          <cell r="J17">
            <v>13172</v>
          </cell>
        </row>
        <row r="18">
          <cell r="B18">
            <v>125641</v>
          </cell>
          <cell r="D18">
            <v>21504</v>
          </cell>
          <cell r="F18">
            <v>4465</v>
          </cell>
          <cell r="J18">
            <v>4325</v>
          </cell>
        </row>
        <row r="19">
          <cell r="B19">
            <v>394954</v>
          </cell>
          <cell r="D19">
            <v>46436</v>
          </cell>
          <cell r="F19">
            <v>7585</v>
          </cell>
          <cell r="J19">
            <v>11543</v>
          </cell>
        </row>
        <row r="23">
          <cell r="B23">
            <v>121455</v>
          </cell>
          <cell r="D23">
            <v>9494</v>
          </cell>
          <cell r="F23">
            <v>2542</v>
          </cell>
          <cell r="J23">
            <v>3047</v>
          </cell>
        </row>
        <row r="24">
          <cell r="B24">
            <v>95796</v>
          </cell>
          <cell r="D24">
            <v>7681</v>
          </cell>
          <cell r="F24">
            <v>895</v>
          </cell>
          <cell r="J24">
            <v>2764</v>
          </cell>
        </row>
        <row r="25">
          <cell r="B25">
            <v>90732</v>
          </cell>
          <cell r="D25">
            <v>11549</v>
          </cell>
          <cell r="F25">
            <v>1456</v>
          </cell>
          <cell r="J25">
            <v>2472</v>
          </cell>
        </row>
        <row r="26">
          <cell r="B26">
            <v>226381</v>
          </cell>
          <cell r="D26">
            <v>21152</v>
          </cell>
          <cell r="F26">
            <v>3284</v>
          </cell>
          <cell r="J26">
            <v>5481</v>
          </cell>
        </row>
        <row r="27">
          <cell r="B27">
            <v>154853</v>
          </cell>
          <cell r="D27">
            <v>17122</v>
          </cell>
          <cell r="F27">
            <v>2292</v>
          </cell>
          <cell r="J27">
            <v>3340</v>
          </cell>
        </row>
        <row r="28">
          <cell r="B28">
            <v>69928</v>
          </cell>
          <cell r="D28">
            <v>9609</v>
          </cell>
          <cell r="F28">
            <v>1529</v>
          </cell>
          <cell r="J28">
            <v>1534</v>
          </cell>
        </row>
        <row r="29">
          <cell r="B29">
            <v>37023</v>
          </cell>
          <cell r="D29">
            <v>3739</v>
          </cell>
          <cell r="F29">
            <v>636</v>
          </cell>
          <cell r="J29">
            <v>581</v>
          </cell>
        </row>
        <row r="30">
          <cell r="B30">
            <v>103590</v>
          </cell>
          <cell r="D30">
            <v>8971</v>
          </cell>
          <cell r="F30">
            <v>1555</v>
          </cell>
          <cell r="J30">
            <v>1852</v>
          </cell>
        </row>
        <row r="31">
          <cell r="B31">
            <v>75555</v>
          </cell>
          <cell r="D31">
            <v>6533</v>
          </cell>
          <cell r="F31">
            <v>1585</v>
          </cell>
          <cell r="J31">
            <v>1349</v>
          </cell>
        </row>
        <row r="32">
          <cell r="B32">
            <v>108803</v>
          </cell>
          <cell r="D32">
            <v>10862</v>
          </cell>
          <cell r="F32">
            <v>2649</v>
          </cell>
          <cell r="J32">
            <v>2736</v>
          </cell>
        </row>
        <row r="33">
          <cell r="B33">
            <v>152972</v>
          </cell>
          <cell r="D33">
            <v>9071</v>
          </cell>
          <cell r="F33">
            <v>3332</v>
          </cell>
          <cell r="J33">
            <v>2558</v>
          </cell>
        </row>
        <row r="34">
          <cell r="B34">
            <v>64820</v>
          </cell>
          <cell r="D34">
            <v>5220</v>
          </cell>
          <cell r="F34">
            <v>1110</v>
          </cell>
          <cell r="J34">
            <v>1346</v>
          </cell>
        </row>
        <row r="35">
          <cell r="B35">
            <v>12161</v>
          </cell>
          <cell r="D35">
            <v>1216</v>
          </cell>
          <cell r="F35">
            <v>222</v>
          </cell>
          <cell r="J35">
            <v>433</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35"/>
  <sheetViews>
    <sheetView view="pageLayout" topLeftCell="A16" zoomScale="50" zoomScaleNormal="100" zoomScalePageLayoutView="50" workbookViewId="0">
      <selection activeCell="D30" sqref="D30"/>
    </sheetView>
  </sheetViews>
  <sheetFormatPr defaultColWidth="9.140625" defaultRowHeight="12.75" x14ac:dyDescent="0.2"/>
  <cols>
    <col min="1" max="1" width="6" style="1" customWidth="1"/>
    <col min="2" max="2" width="7.5703125" style="1" bestFit="1" customWidth="1"/>
    <col min="3" max="3" width="31" style="1" customWidth="1"/>
    <col min="4" max="4" width="24.140625" style="1" customWidth="1"/>
    <col min="5" max="5" width="21.5703125" style="1" customWidth="1"/>
    <col min="6" max="7" width="21" style="1" customWidth="1"/>
    <col min="8" max="8" width="6" style="1" customWidth="1"/>
    <col min="9" max="9" width="7.5703125" style="1" bestFit="1" customWidth="1"/>
    <col min="10" max="10" width="13.28515625" style="1" customWidth="1"/>
    <col min="11" max="11" width="14.140625" style="1" customWidth="1"/>
    <col min="12" max="12" width="14.140625" style="1" bestFit="1" customWidth="1"/>
    <col min="13" max="13" width="16.42578125" style="1" customWidth="1"/>
    <col min="14" max="14" width="19.140625" style="1" customWidth="1"/>
    <col min="15" max="15" width="14" style="1" bestFit="1" customWidth="1"/>
    <col min="16" max="16" width="17.140625" style="1" customWidth="1"/>
    <col min="17" max="17" width="14.42578125" style="1" bestFit="1" customWidth="1"/>
    <col min="18" max="18" width="6" style="1" customWidth="1"/>
    <col min="19" max="19" width="6.5703125" style="1" customWidth="1"/>
    <col min="20" max="20" width="16" style="1" customWidth="1"/>
    <col min="21" max="21" width="17.42578125" style="1" customWidth="1"/>
    <col min="22" max="22" width="17" style="1" customWidth="1"/>
    <col min="23" max="23" width="13.5703125" style="1" customWidth="1"/>
    <col min="24" max="24" width="15.85546875" style="1" customWidth="1"/>
    <col min="25" max="25" width="16" style="1" customWidth="1"/>
    <col min="26" max="26" width="16.42578125" style="1" customWidth="1"/>
    <col min="27" max="16384" width="9.140625" style="1"/>
  </cols>
  <sheetData>
    <row r="1" spans="1:26" s="87" customFormat="1" ht="16.5" thickBot="1" x14ac:dyDescent="0.3">
      <c r="A1" s="227" t="s">
        <v>16</v>
      </c>
      <c r="B1" s="227"/>
      <c r="C1" s="227"/>
      <c r="D1" s="227"/>
      <c r="E1" s="227"/>
      <c r="F1" s="227"/>
      <c r="G1" s="227"/>
      <c r="H1" s="227" t="s">
        <v>17</v>
      </c>
      <c r="I1" s="227"/>
      <c r="J1" s="227"/>
      <c r="K1" s="227"/>
      <c r="L1" s="227"/>
      <c r="M1" s="227"/>
      <c r="N1" s="227"/>
      <c r="O1" s="227"/>
      <c r="P1" s="227"/>
      <c r="Q1" s="227"/>
      <c r="R1" s="227" t="s">
        <v>23</v>
      </c>
      <c r="S1" s="227"/>
      <c r="T1" s="227"/>
      <c r="U1" s="227"/>
      <c r="V1" s="227"/>
      <c r="W1" s="227"/>
      <c r="X1" s="227"/>
      <c r="Y1" s="227"/>
      <c r="Z1" s="227"/>
    </row>
    <row r="2" spans="1:26" s="2" customFormat="1" ht="51.75" thickBot="1" x14ac:dyDescent="0.3">
      <c r="B2" s="48" t="s">
        <v>1</v>
      </c>
      <c r="C2" s="49" t="s">
        <v>5</v>
      </c>
      <c r="D2" s="50" t="s">
        <v>6</v>
      </c>
      <c r="E2" s="50" t="s">
        <v>21</v>
      </c>
      <c r="F2" s="51" t="s">
        <v>18</v>
      </c>
      <c r="G2" s="52" t="s">
        <v>13</v>
      </c>
      <c r="I2" s="48" t="s">
        <v>1</v>
      </c>
      <c r="J2" s="53" t="s">
        <v>12</v>
      </c>
      <c r="K2" s="54" t="s">
        <v>14</v>
      </c>
      <c r="L2" s="55" t="s">
        <v>11</v>
      </c>
      <c r="M2" s="56" t="s">
        <v>19</v>
      </c>
      <c r="N2" s="57" t="s">
        <v>20</v>
      </c>
      <c r="O2" s="55" t="s">
        <v>11</v>
      </c>
      <c r="P2" s="22" t="s">
        <v>29</v>
      </c>
      <c r="Q2" s="11" t="s">
        <v>28</v>
      </c>
      <c r="S2" s="12" t="s">
        <v>1</v>
      </c>
      <c r="T2" s="21" t="s">
        <v>8</v>
      </c>
      <c r="U2" s="10" t="s">
        <v>24</v>
      </c>
      <c r="V2" s="10" t="s">
        <v>25</v>
      </c>
      <c r="W2" s="10" t="s">
        <v>27</v>
      </c>
      <c r="X2" s="31" t="s">
        <v>26</v>
      </c>
      <c r="Y2" s="22" t="s">
        <v>22</v>
      </c>
      <c r="Z2" s="11" t="s">
        <v>28</v>
      </c>
    </row>
    <row r="3" spans="1:26" s="2" customFormat="1" ht="12.75" customHeight="1" x14ac:dyDescent="0.25">
      <c r="A3" s="224" t="s">
        <v>3</v>
      </c>
      <c r="B3" s="13">
        <v>1</v>
      </c>
      <c r="C3" s="68">
        <v>198173</v>
      </c>
      <c r="D3" s="69">
        <v>69291</v>
      </c>
      <c r="E3" s="70">
        <v>40017</v>
      </c>
      <c r="F3" s="71">
        <v>4492</v>
      </c>
      <c r="G3" s="82">
        <v>8591</v>
      </c>
      <c r="H3" s="224" t="s">
        <v>3</v>
      </c>
      <c r="I3" s="13">
        <v>1</v>
      </c>
      <c r="J3" s="23">
        <f t="shared" ref="J3:J15" si="0">SUM(D3:F3)</f>
        <v>113800</v>
      </c>
      <c r="K3" s="8">
        <f>J3/$J$31</f>
        <v>2.1647409729540535E-2</v>
      </c>
      <c r="L3" s="24">
        <f t="shared" ref="L3:L15" si="1">K3*($Q$32*$Q$33)</f>
        <v>2250841.7484182934</v>
      </c>
      <c r="M3" s="23">
        <f t="shared" ref="M3:M15" si="2">SUM(G3:G3)</f>
        <v>8591</v>
      </c>
      <c r="N3" s="9">
        <f>M3/$M$31</f>
        <v>2.7825371582557889E-2</v>
      </c>
      <c r="O3" s="24">
        <f t="shared" ref="O3:O15" si="3">N3*($Q$32*$Q$34)</f>
        <v>-964403.42140652379</v>
      </c>
      <c r="P3" s="35">
        <f>L3+O3</f>
        <v>1286438.3270117696</v>
      </c>
      <c r="Q3" s="32">
        <f>P3/$P$31</f>
        <v>1.8558428803031858E-2</v>
      </c>
      <c r="R3" s="224" t="s">
        <v>3</v>
      </c>
      <c r="S3" s="13">
        <v>1</v>
      </c>
      <c r="T3" s="34">
        <f>P3</f>
        <v>1286438.3270117696</v>
      </c>
      <c r="U3" s="60">
        <f>IF(T3&lt;$Z$32, $Z$32-T3, 0)</f>
        <v>0</v>
      </c>
      <c r="V3" s="60">
        <f>IF(T3&lt;$Z$32, 0, T3-$Z$32)</f>
        <v>686438.32701176964</v>
      </c>
      <c r="W3" s="61">
        <f t="shared" ref="W3:W15" si="4">IF(T3&lt;$Z$32, 0, (T3-$Z$32)/$V$31)</f>
        <v>1.2487634696993885E-2</v>
      </c>
      <c r="X3" s="66">
        <f t="shared" ref="X3:X15" si="5">IF(T3&lt;$Z$32, U3, -W3*$U$31)</f>
        <v>-15624.094796206231</v>
      </c>
      <c r="Y3" s="35">
        <f>T3+X3</f>
        <v>1270814.2322155633</v>
      </c>
      <c r="Z3" s="36">
        <f>Y3/$Y$31</f>
        <v>1.8333032338390797E-2</v>
      </c>
    </row>
    <row r="4" spans="1:26" s="2" customFormat="1" x14ac:dyDescent="0.25">
      <c r="A4" s="225"/>
      <c r="B4" s="14">
        <v>2</v>
      </c>
      <c r="C4" s="72">
        <v>100142</v>
      </c>
      <c r="D4" s="73">
        <v>35015</v>
      </c>
      <c r="E4" s="74">
        <v>18125</v>
      </c>
      <c r="F4" s="75">
        <v>1402</v>
      </c>
      <c r="G4" s="83">
        <v>3983</v>
      </c>
      <c r="H4" s="225"/>
      <c r="I4" s="14">
        <v>2</v>
      </c>
      <c r="J4" s="25">
        <f t="shared" si="0"/>
        <v>54542</v>
      </c>
      <c r="K4" s="6">
        <f t="shared" ref="K4:K15" si="6">J4/$J$31</f>
        <v>1.0375158360884006E-2</v>
      </c>
      <c r="L4" s="26">
        <f t="shared" si="1"/>
        <v>1078782.1673306727</v>
      </c>
      <c r="M4" s="25">
        <f t="shared" si="2"/>
        <v>3983</v>
      </c>
      <c r="N4" s="7">
        <f t="shared" ref="N4:N15" si="7">M4/$M$31</f>
        <v>1.2900530207580965E-2</v>
      </c>
      <c r="O4" s="26">
        <f t="shared" si="3"/>
        <v>-447121.2696382475</v>
      </c>
      <c r="P4" s="38">
        <f t="shared" ref="P4:P15" si="8">L4+O4</f>
        <v>631660.89769242518</v>
      </c>
      <c r="Q4" s="33">
        <f t="shared" ref="Q4:Q15" si="9">P4/$P$31</f>
        <v>9.1124724375355251E-3</v>
      </c>
      <c r="R4" s="225"/>
      <c r="S4" s="14">
        <v>2</v>
      </c>
      <c r="T4" s="37">
        <f t="shared" ref="T4:T15" si="10">P4</f>
        <v>631660.89769242518</v>
      </c>
      <c r="U4" s="58">
        <f t="shared" ref="U4:U15" si="11">IF(T4&lt;$Z$32, $Z$32-T4, 0)</f>
        <v>0</v>
      </c>
      <c r="V4" s="58">
        <f t="shared" ref="V4:V15" si="12">IF(T4&lt;$Z$32, 0, T4-$Z$32)</f>
        <v>31660.897692425177</v>
      </c>
      <c r="W4" s="59">
        <f t="shared" si="4"/>
        <v>5.7597268247395409E-4</v>
      </c>
      <c r="X4" s="67">
        <f t="shared" si="5"/>
        <v>-720.63701488357663</v>
      </c>
      <c r="Y4" s="38">
        <f t="shared" ref="Y4:Y15" si="13">T4+X4</f>
        <v>630940.26067754161</v>
      </c>
      <c r="Z4" s="39">
        <f t="shared" ref="Z4:Z15" si="14">Y4/$Y$31</f>
        <v>9.1020763769916729E-3</v>
      </c>
    </row>
    <row r="5" spans="1:26" s="2" customFormat="1" x14ac:dyDescent="0.25">
      <c r="A5" s="225"/>
      <c r="B5" s="14">
        <v>3</v>
      </c>
      <c r="C5" s="72">
        <v>2233165</v>
      </c>
      <c r="D5" s="73">
        <v>780827</v>
      </c>
      <c r="E5" s="74">
        <v>457642</v>
      </c>
      <c r="F5" s="75">
        <v>77940</v>
      </c>
      <c r="G5" s="83">
        <v>80382</v>
      </c>
      <c r="H5" s="225"/>
      <c r="I5" s="14">
        <v>3</v>
      </c>
      <c r="J5" s="25">
        <f t="shared" si="0"/>
        <v>1316409</v>
      </c>
      <c r="K5" s="6">
        <f t="shared" si="6"/>
        <v>0.25041164318677261</v>
      </c>
      <c r="L5" s="26">
        <f t="shared" si="1"/>
        <v>26037155.845286265</v>
      </c>
      <c r="M5" s="25">
        <f t="shared" si="2"/>
        <v>80382</v>
      </c>
      <c r="N5" s="7">
        <f t="shared" si="7"/>
        <v>0.26034908841219512</v>
      </c>
      <c r="O5" s="26">
        <f t="shared" si="3"/>
        <v>-9023475.2438015603</v>
      </c>
      <c r="P5" s="38">
        <f t="shared" si="8"/>
        <v>17013680.601484705</v>
      </c>
      <c r="Q5" s="33">
        <f t="shared" si="9"/>
        <v>0.24544292057406136</v>
      </c>
      <c r="R5" s="225"/>
      <c r="S5" s="14">
        <v>3</v>
      </c>
      <c r="T5" s="37">
        <f t="shared" si="10"/>
        <v>17013680.601484705</v>
      </c>
      <c r="U5" s="58">
        <f t="shared" si="11"/>
        <v>0</v>
      </c>
      <c r="V5" s="58">
        <f t="shared" si="12"/>
        <v>16413680.601484705</v>
      </c>
      <c r="W5" s="59">
        <f t="shared" si="4"/>
        <v>0.29859644970109822</v>
      </c>
      <c r="X5" s="67">
        <f t="shared" si="5"/>
        <v>-373593.50662809261</v>
      </c>
      <c r="Y5" s="38">
        <f t="shared" si="13"/>
        <v>16640087.094856612</v>
      </c>
      <c r="Z5" s="39">
        <f t="shared" si="14"/>
        <v>0.2400533823828776</v>
      </c>
    </row>
    <row r="6" spans="1:26" s="2" customFormat="1" x14ac:dyDescent="0.25">
      <c r="A6" s="225"/>
      <c r="B6" s="14">
        <v>4</v>
      </c>
      <c r="C6" s="72">
        <v>207203</v>
      </c>
      <c r="D6" s="73">
        <v>72449</v>
      </c>
      <c r="E6" s="74">
        <v>29251</v>
      </c>
      <c r="F6" s="75">
        <v>2939</v>
      </c>
      <c r="G6" s="83">
        <v>6082</v>
      </c>
      <c r="H6" s="225"/>
      <c r="I6" s="14">
        <v>4</v>
      </c>
      <c r="J6" s="25">
        <f t="shared" si="0"/>
        <v>104639</v>
      </c>
      <c r="K6" s="6">
        <f t="shared" si="6"/>
        <v>1.9904774223984113E-2</v>
      </c>
      <c r="L6" s="26">
        <f t="shared" si="1"/>
        <v>2069647.0097780474</v>
      </c>
      <c r="M6" s="25">
        <f t="shared" si="2"/>
        <v>6082</v>
      </c>
      <c r="N6" s="7">
        <f t="shared" si="7"/>
        <v>1.969897683216355E-2</v>
      </c>
      <c r="O6" s="26">
        <f t="shared" si="3"/>
        <v>-682749.57618373609</v>
      </c>
      <c r="P6" s="38">
        <f t="shared" si="8"/>
        <v>1386897.4335943114</v>
      </c>
      <c r="Q6" s="33">
        <f t="shared" si="9"/>
        <v>2.0007672919894394E-2</v>
      </c>
      <c r="R6" s="225"/>
      <c r="S6" s="14">
        <v>4</v>
      </c>
      <c r="T6" s="37">
        <f t="shared" si="10"/>
        <v>1386897.4335943114</v>
      </c>
      <c r="U6" s="58">
        <f t="shared" si="11"/>
        <v>0</v>
      </c>
      <c r="V6" s="58">
        <f t="shared" si="12"/>
        <v>786897.43359431135</v>
      </c>
      <c r="W6" s="59">
        <f t="shared" si="4"/>
        <v>1.4315179249248534E-2</v>
      </c>
      <c r="X6" s="67">
        <f t="shared" si="5"/>
        <v>-17910.655063347178</v>
      </c>
      <c r="Y6" s="38">
        <f t="shared" si="13"/>
        <v>1368986.7785309642</v>
      </c>
      <c r="Z6" s="39">
        <f t="shared" si="14"/>
        <v>1.9749290057825213E-2</v>
      </c>
    </row>
    <row r="7" spans="1:26" s="2" customFormat="1" x14ac:dyDescent="0.25">
      <c r="A7" s="225"/>
      <c r="B7" s="14">
        <v>5</v>
      </c>
      <c r="C7" s="72">
        <v>135302</v>
      </c>
      <c r="D7" s="73">
        <v>47308</v>
      </c>
      <c r="E7" s="74">
        <v>19921</v>
      </c>
      <c r="F7" s="75">
        <v>1630</v>
      </c>
      <c r="G7" s="83">
        <v>3258</v>
      </c>
      <c r="H7" s="225"/>
      <c r="I7" s="14">
        <v>5</v>
      </c>
      <c r="J7" s="25">
        <f t="shared" si="0"/>
        <v>68859</v>
      </c>
      <c r="K7" s="6">
        <f t="shared" si="6"/>
        <v>1.3098585119212932E-2</v>
      </c>
      <c r="L7" s="26">
        <f t="shared" si="1"/>
        <v>1361957.0470503978</v>
      </c>
      <c r="M7" s="25">
        <f t="shared" si="2"/>
        <v>3258</v>
      </c>
      <c r="N7" s="7">
        <f t="shared" si="7"/>
        <v>1.0552329253401653E-2</v>
      </c>
      <c r="O7" s="26">
        <f t="shared" si="3"/>
        <v>-365734.6463674141</v>
      </c>
      <c r="P7" s="38">
        <f t="shared" si="8"/>
        <v>996222.40068298369</v>
      </c>
      <c r="Q7" s="33">
        <f t="shared" si="9"/>
        <v>1.4371713052118573E-2</v>
      </c>
      <c r="R7" s="225"/>
      <c r="S7" s="14">
        <v>5</v>
      </c>
      <c r="T7" s="37">
        <f t="shared" si="10"/>
        <v>996222.40068298369</v>
      </c>
      <c r="U7" s="58">
        <f t="shared" si="11"/>
        <v>0</v>
      </c>
      <c r="V7" s="58">
        <f t="shared" si="12"/>
        <v>396222.40068298369</v>
      </c>
      <c r="W7" s="59">
        <f t="shared" si="4"/>
        <v>7.2080482743939285E-3</v>
      </c>
      <c r="X7" s="67">
        <f t="shared" si="5"/>
        <v>-9018.4596416703316</v>
      </c>
      <c r="Y7" s="38">
        <f t="shared" si="13"/>
        <v>987203.94104131334</v>
      </c>
      <c r="Z7" s="39">
        <f t="shared" si="14"/>
        <v>1.4241610864039545E-2</v>
      </c>
    </row>
    <row r="8" spans="1:26" s="2" customFormat="1" x14ac:dyDescent="0.25">
      <c r="A8" s="225"/>
      <c r="B8" s="14">
        <v>6</v>
      </c>
      <c r="C8" s="72">
        <v>2195301</v>
      </c>
      <c r="D8" s="73">
        <v>767588</v>
      </c>
      <c r="E8" s="74">
        <v>414865</v>
      </c>
      <c r="F8" s="75">
        <v>73495</v>
      </c>
      <c r="G8" s="83">
        <v>81787</v>
      </c>
      <c r="H8" s="225"/>
      <c r="I8" s="14">
        <v>6</v>
      </c>
      <c r="J8" s="25">
        <f t="shared" si="0"/>
        <v>1255948</v>
      </c>
      <c r="K8" s="6">
        <f t="shared" si="6"/>
        <v>0.2389105532073548</v>
      </c>
      <c r="L8" s="26">
        <f t="shared" si="1"/>
        <v>24841302.216541816</v>
      </c>
      <c r="M8" s="25">
        <f t="shared" si="2"/>
        <v>81787</v>
      </c>
      <c r="N8" s="7">
        <f t="shared" si="7"/>
        <v>0.26489973991650123</v>
      </c>
      <c r="O8" s="26">
        <f t="shared" si="3"/>
        <v>-9181196.9068298638</v>
      </c>
      <c r="P8" s="38">
        <f t="shared" si="8"/>
        <v>15660105.309711952</v>
      </c>
      <c r="Q8" s="33">
        <f t="shared" si="9"/>
        <v>0.22591595985278157</v>
      </c>
      <c r="R8" s="225"/>
      <c r="S8" s="14">
        <v>6</v>
      </c>
      <c r="T8" s="37">
        <f t="shared" si="10"/>
        <v>15660105.309711952</v>
      </c>
      <c r="U8" s="58">
        <f t="shared" si="11"/>
        <v>0</v>
      </c>
      <c r="V8" s="58">
        <f t="shared" si="12"/>
        <v>15060105.309711952</v>
      </c>
      <c r="W8" s="59">
        <f t="shared" si="4"/>
        <v>0.27397230924536686</v>
      </c>
      <c r="X8" s="67">
        <f t="shared" si="5"/>
        <v>-342784.63736736233</v>
      </c>
      <c r="Y8" s="38">
        <f t="shared" si="13"/>
        <v>15317320.67234459</v>
      </c>
      <c r="Z8" s="39">
        <f t="shared" si="14"/>
        <v>0.22097087686374134</v>
      </c>
    </row>
    <row r="9" spans="1:26" s="2" customFormat="1" x14ac:dyDescent="0.25">
      <c r="A9" s="225"/>
      <c r="B9" s="14">
        <v>7</v>
      </c>
      <c r="C9" s="72">
        <v>540304</v>
      </c>
      <c r="D9" s="73">
        <v>188917</v>
      </c>
      <c r="E9" s="74">
        <v>143208</v>
      </c>
      <c r="F9" s="75">
        <v>19996</v>
      </c>
      <c r="G9" s="83">
        <v>22310</v>
      </c>
      <c r="H9" s="225"/>
      <c r="I9" s="14">
        <v>7</v>
      </c>
      <c r="J9" s="25">
        <f t="shared" si="0"/>
        <v>352121</v>
      </c>
      <c r="K9" s="6">
        <f t="shared" si="6"/>
        <v>6.6981613017359776E-2</v>
      </c>
      <c r="L9" s="26">
        <f t="shared" si="1"/>
        <v>6964575.1080386452</v>
      </c>
      <c r="M9" s="25">
        <f t="shared" si="2"/>
        <v>22310</v>
      </c>
      <c r="N9" s="7">
        <f t="shared" si="7"/>
        <v>7.225981143136613E-2</v>
      </c>
      <c r="O9" s="26">
        <f t="shared" si="3"/>
        <v>-2504462.8485135077</v>
      </c>
      <c r="P9" s="38">
        <f t="shared" si="8"/>
        <v>4460112.259525137</v>
      </c>
      <c r="Q9" s="33">
        <f t="shared" si="9"/>
        <v>6.4342513810356591E-2</v>
      </c>
      <c r="R9" s="225"/>
      <c r="S9" s="14">
        <v>7</v>
      </c>
      <c r="T9" s="37">
        <f t="shared" si="10"/>
        <v>4460112.259525137</v>
      </c>
      <c r="U9" s="58">
        <f t="shared" si="11"/>
        <v>0</v>
      </c>
      <c r="V9" s="58">
        <f t="shared" si="12"/>
        <v>3860112.259525137</v>
      </c>
      <c r="W9" s="59">
        <f t="shared" si="4"/>
        <v>7.0222873475290479E-2</v>
      </c>
      <c r="X9" s="67">
        <f t="shared" si="5"/>
        <v>-87860.420220656597</v>
      </c>
      <c r="Y9" s="38">
        <f t="shared" si="13"/>
        <v>4372251.8393044807</v>
      </c>
      <c r="Z9" s="39">
        <f t="shared" si="14"/>
        <v>6.3075020982265029E-2</v>
      </c>
    </row>
    <row r="10" spans="1:26" s="2" customFormat="1" x14ac:dyDescent="0.25">
      <c r="A10" s="225"/>
      <c r="B10" s="14">
        <v>8</v>
      </c>
      <c r="C10" s="72">
        <v>338791</v>
      </c>
      <c r="D10" s="73">
        <v>118458</v>
      </c>
      <c r="E10" s="74">
        <v>68023</v>
      </c>
      <c r="F10" s="75">
        <v>6493</v>
      </c>
      <c r="G10" s="83">
        <v>12962</v>
      </c>
      <c r="H10" s="225"/>
      <c r="I10" s="14">
        <v>8</v>
      </c>
      <c r="J10" s="25">
        <f t="shared" si="0"/>
        <v>192974</v>
      </c>
      <c r="K10" s="6">
        <f t="shared" si="6"/>
        <v>3.6708148024150747E-2</v>
      </c>
      <c r="L10" s="26">
        <f t="shared" si="1"/>
        <v>3816818.4144048481</v>
      </c>
      <c r="M10" s="25">
        <f t="shared" si="2"/>
        <v>12962</v>
      </c>
      <c r="N10" s="7">
        <f t="shared" si="7"/>
        <v>4.198259416285826E-2</v>
      </c>
      <c r="O10" s="26">
        <f t="shared" si="3"/>
        <v>-1455080.566671093</v>
      </c>
      <c r="P10" s="38">
        <f t="shared" si="8"/>
        <v>2361737.8477337551</v>
      </c>
      <c r="Q10" s="33">
        <f t="shared" si="9"/>
        <v>3.4070924954796987E-2</v>
      </c>
      <c r="R10" s="225"/>
      <c r="S10" s="14">
        <v>8</v>
      </c>
      <c r="T10" s="37">
        <f t="shared" si="10"/>
        <v>2361737.8477337551</v>
      </c>
      <c r="U10" s="58">
        <f t="shared" si="11"/>
        <v>0</v>
      </c>
      <c r="V10" s="58">
        <f t="shared" si="12"/>
        <v>1761737.8477337551</v>
      </c>
      <c r="W10" s="59">
        <f t="shared" si="4"/>
        <v>3.2049403141777309E-2</v>
      </c>
      <c r="X10" s="67">
        <f t="shared" si="5"/>
        <v>-40099.100029687848</v>
      </c>
      <c r="Y10" s="38">
        <f t="shared" si="13"/>
        <v>2321638.7477040673</v>
      </c>
      <c r="Z10" s="39">
        <f t="shared" si="14"/>
        <v>3.3492446937358533E-2</v>
      </c>
    </row>
    <row r="11" spans="1:26" s="2" customFormat="1" x14ac:dyDescent="0.25">
      <c r="A11" s="225"/>
      <c r="B11" s="14">
        <v>9</v>
      </c>
      <c r="C11" s="72">
        <v>793672</v>
      </c>
      <c r="D11" s="73">
        <v>277508</v>
      </c>
      <c r="E11" s="74">
        <v>132528</v>
      </c>
      <c r="F11" s="75">
        <v>18118</v>
      </c>
      <c r="G11" s="83">
        <v>24890</v>
      </c>
      <c r="H11" s="225"/>
      <c r="I11" s="14">
        <v>9</v>
      </c>
      <c r="J11" s="25">
        <f t="shared" si="0"/>
        <v>428154</v>
      </c>
      <c r="K11" s="6">
        <f t="shared" si="6"/>
        <v>8.1444859976640582E-2</v>
      </c>
      <c r="L11" s="26">
        <f t="shared" si="1"/>
        <v>8468426.1682977676</v>
      </c>
      <c r="M11" s="25">
        <f t="shared" si="2"/>
        <v>24890</v>
      </c>
      <c r="N11" s="7">
        <f t="shared" si="7"/>
        <v>8.0616167930376653E-2</v>
      </c>
      <c r="O11" s="26">
        <f t="shared" si="3"/>
        <v>-2794086.9699462666</v>
      </c>
      <c r="P11" s="38">
        <f t="shared" si="8"/>
        <v>5674339.1983515006</v>
      </c>
      <c r="Q11" s="33">
        <f t="shared" si="9"/>
        <v>8.1859205999772533E-2</v>
      </c>
      <c r="R11" s="225"/>
      <c r="S11" s="14">
        <v>9</v>
      </c>
      <c r="T11" s="37">
        <f t="shared" si="10"/>
        <v>5674339.1983515006</v>
      </c>
      <c r="U11" s="58">
        <f t="shared" si="11"/>
        <v>0</v>
      </c>
      <c r="V11" s="58">
        <f t="shared" si="12"/>
        <v>5074339.1983515006</v>
      </c>
      <c r="W11" s="59">
        <f t="shared" si="4"/>
        <v>9.2311999117968627E-2</v>
      </c>
      <c r="X11" s="67">
        <f t="shared" si="5"/>
        <v>-115497.56699670649</v>
      </c>
      <c r="Y11" s="38">
        <f t="shared" si="13"/>
        <v>5558841.6313547939</v>
      </c>
      <c r="Z11" s="39">
        <f t="shared" si="14"/>
        <v>8.0193013902549543E-2</v>
      </c>
    </row>
    <row r="12" spans="1:26" s="2" customFormat="1" x14ac:dyDescent="0.25">
      <c r="A12" s="225"/>
      <c r="B12" s="14">
        <v>10</v>
      </c>
      <c r="C12" s="72">
        <v>190242</v>
      </c>
      <c r="D12" s="73">
        <v>66518</v>
      </c>
      <c r="E12" s="74">
        <v>32789</v>
      </c>
      <c r="F12" s="75">
        <v>5462</v>
      </c>
      <c r="G12" s="83">
        <v>5969</v>
      </c>
      <c r="H12" s="225"/>
      <c r="I12" s="14">
        <v>10</v>
      </c>
      <c r="J12" s="25">
        <f t="shared" si="0"/>
        <v>104769</v>
      </c>
      <c r="K12" s="6">
        <f t="shared" si="6"/>
        <v>1.9929503250915925E-2</v>
      </c>
      <c r="L12" s="26">
        <f t="shared" si="1"/>
        <v>2072218.2701233407</v>
      </c>
      <c r="M12" s="25">
        <f t="shared" si="2"/>
        <v>5969</v>
      </c>
      <c r="N12" s="7">
        <f t="shared" si="7"/>
        <v>1.9332981373098364E-2</v>
      </c>
      <c r="O12" s="26">
        <f t="shared" si="3"/>
        <v>-670064.48869462707</v>
      </c>
      <c r="P12" s="38">
        <f t="shared" si="8"/>
        <v>1402153.7814287136</v>
      </c>
      <c r="Q12" s="33">
        <f t="shared" si="9"/>
        <v>2.0227764189824703E-2</v>
      </c>
      <c r="R12" s="225"/>
      <c r="S12" s="14">
        <v>10</v>
      </c>
      <c r="T12" s="37">
        <f t="shared" si="10"/>
        <v>1402153.7814287136</v>
      </c>
      <c r="U12" s="58">
        <f t="shared" si="11"/>
        <v>0</v>
      </c>
      <c r="V12" s="58">
        <f t="shared" si="12"/>
        <v>802153.78142871358</v>
      </c>
      <c r="W12" s="59">
        <f t="shared" si="4"/>
        <v>1.4592721587823435E-2</v>
      </c>
      <c r="X12" s="67">
        <f t="shared" si="5"/>
        <v>-18257.906397412778</v>
      </c>
      <c r="Y12" s="38">
        <f t="shared" si="13"/>
        <v>1383895.8750313008</v>
      </c>
      <c r="Z12" s="39">
        <f t="shared" si="14"/>
        <v>1.9964371807264181E-2</v>
      </c>
    </row>
    <row r="13" spans="1:26" s="2" customFormat="1" x14ac:dyDescent="0.25">
      <c r="A13" s="225"/>
      <c r="B13" s="14">
        <v>11</v>
      </c>
      <c r="C13" s="72">
        <v>875159</v>
      </c>
      <c r="D13" s="73">
        <v>306000</v>
      </c>
      <c r="E13" s="74">
        <v>68151</v>
      </c>
      <c r="F13" s="75">
        <v>23829</v>
      </c>
      <c r="G13" s="83">
        <v>13172</v>
      </c>
      <c r="H13" s="225"/>
      <c r="I13" s="14">
        <v>11</v>
      </c>
      <c r="J13" s="25">
        <f t="shared" si="0"/>
        <v>397980</v>
      </c>
      <c r="K13" s="6">
        <f t="shared" si="6"/>
        <v>7.5705062602482789E-2</v>
      </c>
      <c r="L13" s="26">
        <f t="shared" si="1"/>
        <v>7871616.8632294582</v>
      </c>
      <c r="M13" s="25">
        <f t="shared" si="2"/>
        <v>13172</v>
      </c>
      <c r="N13" s="7">
        <f t="shared" si="7"/>
        <v>4.2662762715103303E-2</v>
      </c>
      <c r="O13" s="26">
        <f t="shared" si="3"/>
        <v>-1478654.6230667827</v>
      </c>
      <c r="P13" s="38">
        <f t="shared" si="8"/>
        <v>6392962.2401626753</v>
      </c>
      <c r="Q13" s="33">
        <f t="shared" si="9"/>
        <v>9.2226212546172526E-2</v>
      </c>
      <c r="R13" s="225"/>
      <c r="S13" s="14">
        <v>11</v>
      </c>
      <c r="T13" s="37">
        <f t="shared" si="10"/>
        <v>6392962.2401626753</v>
      </c>
      <c r="U13" s="58">
        <f t="shared" si="11"/>
        <v>0</v>
      </c>
      <c r="V13" s="58">
        <f t="shared" si="12"/>
        <v>5792962.2401626753</v>
      </c>
      <c r="W13" s="59">
        <f t="shared" si="4"/>
        <v>0.10538513573906329</v>
      </c>
      <c r="X13" s="67">
        <f t="shared" si="5"/>
        <v>-131854.22146393784</v>
      </c>
      <c r="Y13" s="38">
        <f t="shared" si="13"/>
        <v>6261108.018698737</v>
      </c>
      <c r="Z13" s="39">
        <f t="shared" si="14"/>
        <v>9.0324055925029428E-2</v>
      </c>
    </row>
    <row r="14" spans="1:26" s="2" customFormat="1" x14ac:dyDescent="0.25">
      <c r="A14" s="225"/>
      <c r="B14" s="14">
        <v>12</v>
      </c>
      <c r="C14" s="72">
        <v>125641</v>
      </c>
      <c r="D14" s="73">
        <v>43930</v>
      </c>
      <c r="E14" s="74">
        <v>21504</v>
      </c>
      <c r="F14" s="75">
        <v>4465</v>
      </c>
      <c r="G14" s="83">
        <v>4325</v>
      </c>
      <c r="H14" s="225"/>
      <c r="I14" s="14">
        <v>12</v>
      </c>
      <c r="J14" s="25">
        <f t="shared" si="0"/>
        <v>69899</v>
      </c>
      <c r="K14" s="6">
        <f t="shared" si="6"/>
        <v>1.3296417334667432E-2</v>
      </c>
      <c r="L14" s="26">
        <f t="shared" si="1"/>
        <v>1382527.1298127442</v>
      </c>
      <c r="M14" s="25">
        <f t="shared" si="2"/>
        <v>4325</v>
      </c>
      <c r="N14" s="7">
        <f t="shared" si="7"/>
        <v>1.4008233278380033E-2</v>
      </c>
      <c r="O14" s="26">
        <f t="shared" si="3"/>
        <v>-485513.30433979927</v>
      </c>
      <c r="P14" s="38">
        <f t="shared" si="8"/>
        <v>897013.82547294488</v>
      </c>
      <c r="Q14" s="33">
        <f t="shared" si="9"/>
        <v>1.2940509362811131E-2</v>
      </c>
      <c r="R14" s="225"/>
      <c r="S14" s="14">
        <v>12</v>
      </c>
      <c r="T14" s="37">
        <f t="shared" si="10"/>
        <v>897013.82547294488</v>
      </c>
      <c r="U14" s="58">
        <f t="shared" si="11"/>
        <v>0</v>
      </c>
      <c r="V14" s="58">
        <f t="shared" si="12"/>
        <v>297013.82547294488</v>
      </c>
      <c r="W14" s="59">
        <f t="shared" si="4"/>
        <v>5.4032532953237015E-3</v>
      </c>
      <c r="X14" s="67">
        <f t="shared" si="5"/>
        <v>-6760.3628503301461</v>
      </c>
      <c r="Y14" s="38">
        <f t="shared" si="13"/>
        <v>890253.46262261469</v>
      </c>
      <c r="Z14" s="39">
        <f t="shared" si="14"/>
        <v>1.2842982952095473E-2</v>
      </c>
    </row>
    <row r="15" spans="1:26" s="2" customFormat="1" x14ac:dyDescent="0.25">
      <c r="A15" s="225"/>
      <c r="B15" s="14">
        <v>13</v>
      </c>
      <c r="C15" s="72">
        <v>394954</v>
      </c>
      <c r="D15" s="73">
        <v>138096</v>
      </c>
      <c r="E15" s="74">
        <v>46436</v>
      </c>
      <c r="F15" s="75">
        <v>7585</v>
      </c>
      <c r="G15" s="83">
        <v>11543</v>
      </c>
      <c r="H15" s="225"/>
      <c r="I15" s="14">
        <v>13</v>
      </c>
      <c r="J15" s="25">
        <f t="shared" si="0"/>
        <v>192117</v>
      </c>
      <c r="K15" s="6">
        <f t="shared" si="6"/>
        <v>3.6545126669684874E-2</v>
      </c>
      <c r="L15" s="26">
        <f t="shared" si="1"/>
        <v>3799867.8750516456</v>
      </c>
      <c r="M15" s="25">
        <f t="shared" si="2"/>
        <v>11543</v>
      </c>
      <c r="N15" s="7">
        <f t="shared" si="7"/>
        <v>3.738659808840248E-2</v>
      </c>
      <c r="O15" s="26">
        <f t="shared" si="3"/>
        <v>-1295787.2998830758</v>
      </c>
      <c r="P15" s="38">
        <f t="shared" si="8"/>
        <v>2504080.5751685696</v>
      </c>
      <c r="Q15" s="33">
        <f t="shared" si="9"/>
        <v>3.6124390960326068E-2</v>
      </c>
      <c r="R15" s="225"/>
      <c r="S15" s="14">
        <v>13</v>
      </c>
      <c r="T15" s="37">
        <f t="shared" si="10"/>
        <v>2504080.5751685696</v>
      </c>
      <c r="U15" s="58">
        <f t="shared" si="11"/>
        <v>0</v>
      </c>
      <c r="V15" s="58">
        <f t="shared" si="12"/>
        <v>1904080.5751685696</v>
      </c>
      <c r="W15" s="59">
        <f t="shared" si="4"/>
        <v>3.4638891391534171E-2</v>
      </c>
      <c r="X15" s="67">
        <f t="shared" si="5"/>
        <v>-43338.977786330011</v>
      </c>
      <c r="Y15" s="38">
        <f t="shared" si="13"/>
        <v>2460741.5973822395</v>
      </c>
      <c r="Z15" s="39">
        <f t="shared" si="14"/>
        <v>3.5499173787644285E-2</v>
      </c>
    </row>
    <row r="16" spans="1:26" s="2" customFormat="1" ht="15" customHeight="1" thickBot="1" x14ac:dyDescent="0.3">
      <c r="A16" s="226"/>
      <c r="B16" s="15" t="s">
        <v>2</v>
      </c>
      <c r="C16" s="76">
        <f>SUM(C3:C15)</f>
        <v>8328049</v>
      </c>
      <c r="D16" s="76">
        <f>SUM(D3:D15)</f>
        <v>2911905</v>
      </c>
      <c r="E16" s="77">
        <f t="shared" ref="E16:G16" si="15">SUM(E3:E15)</f>
        <v>1492460</v>
      </c>
      <c r="F16" s="78">
        <f t="shared" si="15"/>
        <v>247846</v>
      </c>
      <c r="G16" s="84">
        <f t="shared" si="15"/>
        <v>279254</v>
      </c>
      <c r="H16" s="226"/>
      <c r="I16" s="15" t="s">
        <v>2</v>
      </c>
      <c r="J16" s="27">
        <f>SUM(J3:J15)</f>
        <v>4652211</v>
      </c>
      <c r="K16" s="19">
        <f t="shared" ref="K16:O16" si="16">SUM(K3:K15)</f>
        <v>0.8849588547036511</v>
      </c>
      <c r="L16" s="28">
        <f t="shared" si="16"/>
        <v>92015735.863363951</v>
      </c>
      <c r="M16" s="27">
        <f t="shared" si="16"/>
        <v>279254</v>
      </c>
      <c r="N16" s="19">
        <f t="shared" si="16"/>
        <v>0.90447518518398562</v>
      </c>
      <c r="O16" s="28">
        <f t="shared" si="16"/>
        <v>-31348331.165342495</v>
      </c>
      <c r="P16" s="42">
        <f>SUM(P3:P15)</f>
        <v>60667404.698021449</v>
      </c>
      <c r="Q16" s="20">
        <f>P16/$P$31</f>
        <v>0.87520068946348395</v>
      </c>
      <c r="R16" s="226"/>
      <c r="S16" s="15" t="s">
        <v>2</v>
      </c>
      <c r="T16" s="40">
        <f t="shared" ref="T16:Y16" si="17">SUM(T3:T15)</f>
        <v>60667404.698021449</v>
      </c>
      <c r="U16" s="62">
        <f t="shared" si="17"/>
        <v>0</v>
      </c>
      <c r="V16" s="62">
        <f t="shared" si="17"/>
        <v>52867404.698021457</v>
      </c>
      <c r="W16" s="63">
        <f t="shared" si="17"/>
        <v>0.9617598715983563</v>
      </c>
      <c r="X16" s="41">
        <f t="shared" si="17"/>
        <v>-1203320.5462566239</v>
      </c>
      <c r="Y16" s="42">
        <f t="shared" si="17"/>
        <v>59464084.151764818</v>
      </c>
      <c r="Z16" s="43">
        <f>Y16/$Y$31</f>
        <v>0.85784133517807259</v>
      </c>
    </row>
    <row r="17" spans="1:26" s="2" customFormat="1" ht="12.75" customHeight="1" x14ac:dyDescent="0.25">
      <c r="A17" s="224" t="s">
        <v>4</v>
      </c>
      <c r="B17" s="13">
        <v>1</v>
      </c>
      <c r="C17" s="68">
        <v>121455</v>
      </c>
      <c r="D17" s="69">
        <v>42467</v>
      </c>
      <c r="E17" s="70">
        <v>9494</v>
      </c>
      <c r="F17" s="71">
        <v>2542</v>
      </c>
      <c r="G17" s="82">
        <v>3047</v>
      </c>
      <c r="H17" s="224" t="s">
        <v>4</v>
      </c>
      <c r="I17" s="13">
        <v>1</v>
      </c>
      <c r="J17" s="23">
        <f t="shared" ref="J17:J29" si="18">SUM(D17:F17)</f>
        <v>54503</v>
      </c>
      <c r="K17" s="8">
        <f>J17/$J$31</f>
        <v>1.0367739652804462E-2</v>
      </c>
      <c r="L17" s="24">
        <f t="shared" ref="L17:L29" si="19">K17*($Q$32*$Q$33)</f>
        <v>1078010.7892270847</v>
      </c>
      <c r="M17" s="23">
        <f t="shared" ref="M17:M29" si="20">SUM(G17:G17)</f>
        <v>3047</v>
      </c>
      <c r="N17" s="9">
        <f>M17/$M$31</f>
        <v>9.8689218032887768E-3</v>
      </c>
      <c r="O17" s="24">
        <f t="shared" ref="O17:O29" si="21">N17*($Q$32*$Q$34)</f>
        <v>-342048.33256031637</v>
      </c>
      <c r="P17" s="35">
        <f>L17+O17</f>
        <v>735962.4566667683</v>
      </c>
      <c r="Q17" s="32">
        <f>P17/$P$31</f>
        <v>1.0617148577562303E-2</v>
      </c>
      <c r="R17" s="224" t="s">
        <v>4</v>
      </c>
      <c r="S17" s="13">
        <v>1</v>
      </c>
      <c r="T17" s="34">
        <f>P17</f>
        <v>735962.4566667683</v>
      </c>
      <c r="U17" s="60">
        <f>IF(T17&lt;$Z$32, $Z$32-T17, 0)</f>
        <v>0</v>
      </c>
      <c r="V17" s="60">
        <f>IF(T17&lt;$Z$32, 0, T17-$Z$32)</f>
        <v>135962.4566667683</v>
      </c>
      <c r="W17" s="61">
        <f t="shared" ref="W17:W29" si="22">IF(T17&lt;$Z$32, 0, (T17-$Z$32)/$V$31)</f>
        <v>2.4734188412112836E-3</v>
      </c>
      <c r="X17" s="66">
        <f t="shared" ref="X17:X29" si="23">IF(T17&lt;$Z$32, U17, -W17*$U$31)</f>
        <v>-3094.655744142688</v>
      </c>
      <c r="Y17" s="35">
        <f>T17+X17</f>
        <v>732867.80092262558</v>
      </c>
      <c r="Z17" s="36">
        <f>Y17/$Y$31</f>
        <v>1.0572504425494032E-2</v>
      </c>
    </row>
    <row r="18" spans="1:26" s="2" customFormat="1" x14ac:dyDescent="0.25">
      <c r="A18" s="225"/>
      <c r="B18" s="14">
        <v>2</v>
      </c>
      <c r="C18" s="72">
        <v>95796</v>
      </c>
      <c r="D18" s="73">
        <v>33495</v>
      </c>
      <c r="E18" s="74">
        <v>7681</v>
      </c>
      <c r="F18" s="75">
        <v>895</v>
      </c>
      <c r="G18" s="83">
        <v>2764</v>
      </c>
      <c r="H18" s="225"/>
      <c r="I18" s="14">
        <v>2</v>
      </c>
      <c r="J18" s="25">
        <f t="shared" si="18"/>
        <v>42071</v>
      </c>
      <c r="K18" s="6">
        <f t="shared" ref="K18:K29" si="24">J18/$J$31</f>
        <v>8.0028837849868174E-3</v>
      </c>
      <c r="L18" s="26">
        <f t="shared" si="19"/>
        <v>832119.18451411265</v>
      </c>
      <c r="M18" s="25">
        <f t="shared" si="20"/>
        <v>2764</v>
      </c>
      <c r="N18" s="7">
        <f t="shared" ref="N18:N29" si="25">M18/$M$31</f>
        <v>8.9523137066918872E-3</v>
      </c>
      <c r="O18" s="26">
        <f t="shared" si="21"/>
        <v>-310279.48513183935</v>
      </c>
      <c r="P18" s="38">
        <f t="shared" ref="P18:P29" si="26">L18+O18</f>
        <v>521839.69938227331</v>
      </c>
      <c r="Q18" s="33">
        <f t="shared" ref="Q18:Q29" si="27">P18/$P$31</f>
        <v>7.5281688241342825E-3</v>
      </c>
      <c r="R18" s="225"/>
      <c r="S18" s="14">
        <v>2</v>
      </c>
      <c r="T18" s="37">
        <f t="shared" ref="T18:T29" si="28">P18</f>
        <v>521839.69938227331</v>
      </c>
      <c r="U18" s="58">
        <f t="shared" ref="U18:U29" si="29">IF(T18&lt;$Z$32, $Z$32-T18, 0)</f>
        <v>78160.300617726694</v>
      </c>
      <c r="V18" s="58">
        <f t="shared" ref="V18:V29" si="30">IF(T18&lt;$Z$32, 0, T18-$Z$32)</f>
        <v>0</v>
      </c>
      <c r="W18" s="59">
        <f t="shared" si="22"/>
        <v>0</v>
      </c>
      <c r="X18" s="67">
        <f t="shared" si="23"/>
        <v>78160.300617726694</v>
      </c>
      <c r="Y18" s="38">
        <f t="shared" ref="Y18:Y29" si="31">T18+X18</f>
        <v>600000</v>
      </c>
      <c r="Z18" s="39">
        <f t="shared" ref="Z18:Z29" si="32">Y18/$Y$31</f>
        <v>8.6557256947438887E-3</v>
      </c>
    </row>
    <row r="19" spans="1:26" s="2" customFormat="1" x14ac:dyDescent="0.25">
      <c r="A19" s="225"/>
      <c r="B19" s="14">
        <v>3</v>
      </c>
      <c r="C19" s="72">
        <v>90732</v>
      </c>
      <c r="D19" s="73">
        <v>31724</v>
      </c>
      <c r="E19" s="74">
        <v>11549</v>
      </c>
      <c r="F19" s="75">
        <v>1456</v>
      </c>
      <c r="G19" s="83">
        <v>2472</v>
      </c>
      <c r="H19" s="225"/>
      <c r="I19" s="14">
        <v>3</v>
      </c>
      <c r="J19" s="25">
        <f t="shared" si="18"/>
        <v>44729</v>
      </c>
      <c r="K19" s="6">
        <f t="shared" si="24"/>
        <v>8.5084972741003382E-3</v>
      </c>
      <c r="L19" s="26">
        <f t="shared" si="19"/>
        <v>884691.56911249412</v>
      </c>
      <c r="M19" s="25">
        <f t="shared" si="20"/>
        <v>2472</v>
      </c>
      <c r="N19" s="7">
        <f t="shared" si="25"/>
        <v>8.006555529284495E-3</v>
      </c>
      <c r="O19" s="26">
        <f t="shared" si="21"/>
        <v>-277500.32100068987</v>
      </c>
      <c r="P19" s="38">
        <f t="shared" si="26"/>
        <v>607191.24811180425</v>
      </c>
      <c r="Q19" s="33">
        <f t="shared" si="27"/>
        <v>8.7594681465082598E-3</v>
      </c>
      <c r="R19" s="225"/>
      <c r="S19" s="14">
        <v>3</v>
      </c>
      <c r="T19" s="37">
        <f t="shared" si="28"/>
        <v>607191.24811180425</v>
      </c>
      <c r="U19" s="58">
        <f t="shared" si="29"/>
        <v>0</v>
      </c>
      <c r="V19" s="58">
        <f t="shared" si="30"/>
        <v>7191.2481118042488</v>
      </c>
      <c r="W19" s="59">
        <f t="shared" si="22"/>
        <v>1.3082264771925936E-4</v>
      </c>
      <c r="X19" s="67">
        <f t="shared" si="23"/>
        <v>-163.68075292500703</v>
      </c>
      <c r="Y19" s="38">
        <f t="shared" si="31"/>
        <v>607027.56735887926</v>
      </c>
      <c r="Z19" s="39">
        <f t="shared" si="32"/>
        <v>8.7571068536768798E-3</v>
      </c>
    </row>
    <row r="20" spans="1:26" s="2" customFormat="1" x14ac:dyDescent="0.25">
      <c r="A20" s="225"/>
      <c r="B20" s="14">
        <v>4</v>
      </c>
      <c r="C20" s="72">
        <v>226381</v>
      </c>
      <c r="D20" s="73">
        <v>79154</v>
      </c>
      <c r="E20" s="74">
        <v>21152</v>
      </c>
      <c r="F20" s="75">
        <v>3284</v>
      </c>
      <c r="G20" s="83">
        <v>5481</v>
      </c>
      <c r="H20" s="225"/>
      <c r="I20" s="14">
        <v>4</v>
      </c>
      <c r="J20" s="25">
        <f t="shared" si="18"/>
        <v>103590</v>
      </c>
      <c r="K20" s="6">
        <f t="shared" si="24"/>
        <v>1.9705229998972795E-2</v>
      </c>
      <c r="L20" s="26">
        <f t="shared" si="19"/>
        <v>2048898.9166841039</v>
      </c>
      <c r="M20" s="25">
        <f t="shared" si="20"/>
        <v>5481</v>
      </c>
      <c r="N20" s="7">
        <f t="shared" si="25"/>
        <v>1.7752399213595598E-2</v>
      </c>
      <c r="O20" s="26">
        <f t="shared" si="21"/>
        <v>-615282.87192750047</v>
      </c>
      <c r="P20" s="38">
        <f t="shared" si="26"/>
        <v>1433616.0447566034</v>
      </c>
      <c r="Q20" s="33">
        <f t="shared" si="27"/>
        <v>2.0681645391661393E-2</v>
      </c>
      <c r="R20" s="225"/>
      <c r="S20" s="14">
        <v>4</v>
      </c>
      <c r="T20" s="37">
        <f t="shared" si="28"/>
        <v>1433616.0447566034</v>
      </c>
      <c r="U20" s="58">
        <f t="shared" si="29"/>
        <v>0</v>
      </c>
      <c r="V20" s="58">
        <f t="shared" si="30"/>
        <v>833616.04475660343</v>
      </c>
      <c r="W20" s="59">
        <f t="shared" si="22"/>
        <v>1.5165080728796312E-2</v>
      </c>
      <c r="X20" s="67">
        <f t="shared" si="23"/>
        <v>-18974.022274680403</v>
      </c>
      <c r="Y20" s="38">
        <f t="shared" si="31"/>
        <v>1414642.022481923</v>
      </c>
      <c r="Z20" s="39">
        <f t="shared" si="32"/>
        <v>2.0407922171435403E-2</v>
      </c>
    </row>
    <row r="21" spans="1:26" s="2" customFormat="1" x14ac:dyDescent="0.25">
      <c r="A21" s="225"/>
      <c r="B21" s="14">
        <v>5</v>
      </c>
      <c r="C21" s="72">
        <v>154853</v>
      </c>
      <c r="D21" s="73">
        <v>54144</v>
      </c>
      <c r="E21" s="74">
        <v>17122</v>
      </c>
      <c r="F21" s="75">
        <v>2292</v>
      </c>
      <c r="G21" s="83">
        <v>3340</v>
      </c>
      <c r="H21" s="225"/>
      <c r="I21" s="14">
        <v>5</v>
      </c>
      <c r="J21" s="25">
        <f t="shared" si="18"/>
        <v>73558</v>
      </c>
      <c r="K21" s="6">
        <f t="shared" si="24"/>
        <v>1.3992444331155911E-2</v>
      </c>
      <c r="L21" s="26">
        <f t="shared" si="19"/>
        <v>1454898.2190698844</v>
      </c>
      <c r="M21" s="25">
        <f t="shared" si="20"/>
        <v>3340</v>
      </c>
      <c r="N21" s="7">
        <f t="shared" si="25"/>
        <v>1.0817918878564002E-2</v>
      </c>
      <c r="O21" s="26">
        <f t="shared" si="21"/>
        <v>-374939.75410287385</v>
      </c>
      <c r="P21" s="38">
        <f t="shared" si="26"/>
        <v>1079958.4649670105</v>
      </c>
      <c r="Q21" s="33">
        <f t="shared" si="27"/>
        <v>1.5579707057451868E-2</v>
      </c>
      <c r="R21" s="225"/>
      <c r="S21" s="14">
        <v>5</v>
      </c>
      <c r="T21" s="37">
        <f t="shared" si="28"/>
        <v>1079958.4649670105</v>
      </c>
      <c r="U21" s="58">
        <f t="shared" si="29"/>
        <v>0</v>
      </c>
      <c r="V21" s="58">
        <f t="shared" si="30"/>
        <v>479958.46496701054</v>
      </c>
      <c r="W21" s="59">
        <f t="shared" si="22"/>
        <v>8.7313684920964502E-3</v>
      </c>
      <c r="X21" s="67">
        <f t="shared" si="23"/>
        <v>-10924.384988132551</v>
      </c>
      <c r="Y21" s="38">
        <f t="shared" si="31"/>
        <v>1069034.0799788779</v>
      </c>
      <c r="Z21" s="39">
        <f t="shared" si="32"/>
        <v>1.5422109591050111E-2</v>
      </c>
    </row>
    <row r="22" spans="1:26" s="2" customFormat="1" x14ac:dyDescent="0.25">
      <c r="A22" s="225"/>
      <c r="B22" s="14">
        <v>6</v>
      </c>
      <c r="C22" s="72">
        <v>69928</v>
      </c>
      <c r="D22" s="73">
        <v>24450</v>
      </c>
      <c r="E22" s="74">
        <v>9609</v>
      </c>
      <c r="F22" s="75">
        <v>1529</v>
      </c>
      <c r="G22" s="83">
        <v>1534</v>
      </c>
      <c r="H22" s="225"/>
      <c r="I22" s="14">
        <v>6</v>
      </c>
      <c r="J22" s="25">
        <f t="shared" si="18"/>
        <v>35588</v>
      </c>
      <c r="K22" s="6">
        <f t="shared" si="24"/>
        <v>6.769666234225734E-3</v>
      </c>
      <c r="L22" s="26">
        <f t="shared" si="19"/>
        <v>703892.40898690885</v>
      </c>
      <c r="M22" s="25">
        <f t="shared" si="20"/>
        <v>1534</v>
      </c>
      <c r="N22" s="7">
        <f t="shared" si="25"/>
        <v>4.9684693292566407E-3</v>
      </c>
      <c r="O22" s="26">
        <f t="shared" si="21"/>
        <v>-172202.86909994268</v>
      </c>
      <c r="P22" s="38">
        <f t="shared" si="26"/>
        <v>531689.53988696611</v>
      </c>
      <c r="Q22" s="33">
        <f t="shared" si="27"/>
        <v>7.6702646867102802E-3</v>
      </c>
      <c r="R22" s="225"/>
      <c r="S22" s="14">
        <v>6</v>
      </c>
      <c r="T22" s="37">
        <f t="shared" si="28"/>
        <v>531689.53988696611</v>
      </c>
      <c r="U22" s="58">
        <f t="shared" si="29"/>
        <v>68310.460113033885</v>
      </c>
      <c r="V22" s="58">
        <f t="shared" si="30"/>
        <v>0</v>
      </c>
      <c r="W22" s="59">
        <f t="shared" si="22"/>
        <v>0</v>
      </c>
      <c r="X22" s="67">
        <f t="shared" si="23"/>
        <v>68310.460113033885</v>
      </c>
      <c r="Y22" s="38">
        <f t="shared" si="31"/>
        <v>600000</v>
      </c>
      <c r="Z22" s="39">
        <f t="shared" si="32"/>
        <v>8.6557256947438887E-3</v>
      </c>
    </row>
    <row r="23" spans="1:26" s="2" customFormat="1" x14ac:dyDescent="0.25">
      <c r="A23" s="225"/>
      <c r="B23" s="14">
        <v>7</v>
      </c>
      <c r="C23" s="72">
        <v>37023</v>
      </c>
      <c r="D23" s="73">
        <v>12945</v>
      </c>
      <c r="E23" s="74">
        <v>3739</v>
      </c>
      <c r="F23" s="75">
        <v>636</v>
      </c>
      <c r="G23" s="83">
        <v>581</v>
      </c>
      <c r="H23" s="225"/>
      <c r="I23" s="14">
        <v>7</v>
      </c>
      <c r="J23" s="25">
        <f t="shared" si="18"/>
        <v>17320</v>
      </c>
      <c r="K23" s="6">
        <f t="shared" si="24"/>
        <v>3.2946672804537967E-3</v>
      </c>
      <c r="L23" s="26">
        <f t="shared" si="19"/>
        <v>342570.99369600037</v>
      </c>
      <c r="M23" s="25">
        <f t="shared" si="20"/>
        <v>581</v>
      </c>
      <c r="N23" s="7">
        <f t="shared" si="25"/>
        <v>1.881799661211283E-3</v>
      </c>
      <c r="O23" s="26">
        <f t="shared" si="21"/>
        <v>-65221.556028074767</v>
      </c>
      <c r="P23" s="38">
        <f t="shared" si="26"/>
        <v>277349.43766792561</v>
      </c>
      <c r="Q23" s="33">
        <f t="shared" si="27"/>
        <v>4.0011010900750533E-3</v>
      </c>
      <c r="R23" s="225"/>
      <c r="S23" s="14">
        <v>7</v>
      </c>
      <c r="T23" s="37">
        <f t="shared" si="28"/>
        <v>277349.43766792561</v>
      </c>
      <c r="U23" s="58">
        <f t="shared" si="29"/>
        <v>322650.56233207439</v>
      </c>
      <c r="V23" s="58">
        <f t="shared" si="30"/>
        <v>0</v>
      </c>
      <c r="W23" s="59">
        <f t="shared" si="22"/>
        <v>0</v>
      </c>
      <c r="X23" s="67">
        <f t="shared" si="23"/>
        <v>322650.56233207439</v>
      </c>
      <c r="Y23" s="38">
        <f t="shared" si="31"/>
        <v>600000</v>
      </c>
      <c r="Z23" s="39">
        <f t="shared" si="32"/>
        <v>8.6557256947438887E-3</v>
      </c>
    </row>
    <row r="24" spans="1:26" s="2" customFormat="1" x14ac:dyDescent="0.25">
      <c r="A24" s="225"/>
      <c r="B24" s="14">
        <v>8</v>
      </c>
      <c r="C24" s="72">
        <v>103590</v>
      </c>
      <c r="D24" s="73">
        <v>36220</v>
      </c>
      <c r="E24" s="74">
        <v>8971</v>
      </c>
      <c r="F24" s="75">
        <v>1555</v>
      </c>
      <c r="G24" s="83">
        <v>1852</v>
      </c>
      <c r="H24" s="225"/>
      <c r="I24" s="14">
        <v>8</v>
      </c>
      <c r="J24" s="25">
        <f t="shared" si="18"/>
        <v>46746</v>
      </c>
      <c r="K24" s="6">
        <f t="shared" si="24"/>
        <v>8.892177638111615E-3</v>
      </c>
      <c r="L24" s="26">
        <f t="shared" si="19"/>
        <v>924585.66231600649</v>
      </c>
      <c r="M24" s="25">
        <f t="shared" si="20"/>
        <v>1852</v>
      </c>
      <c r="N24" s="7">
        <f t="shared" si="25"/>
        <v>5.9984388512277038E-3</v>
      </c>
      <c r="O24" s="26">
        <f t="shared" si="21"/>
        <v>-207900.72592770131</v>
      </c>
      <c r="P24" s="38">
        <f t="shared" si="26"/>
        <v>716684.93638830516</v>
      </c>
      <c r="Q24" s="33">
        <f t="shared" si="27"/>
        <v>1.0339047031553571E-2</v>
      </c>
      <c r="R24" s="225"/>
      <c r="S24" s="14">
        <v>8</v>
      </c>
      <c r="T24" s="37">
        <f t="shared" si="28"/>
        <v>716684.93638830516</v>
      </c>
      <c r="U24" s="58">
        <f t="shared" si="29"/>
        <v>0</v>
      </c>
      <c r="V24" s="58">
        <f t="shared" si="30"/>
        <v>116684.93638830516</v>
      </c>
      <c r="W24" s="59">
        <f t="shared" si="22"/>
        <v>2.1227236343318869E-3</v>
      </c>
      <c r="X24" s="67">
        <f t="shared" si="23"/>
        <v>-2655.8780820944967</v>
      </c>
      <c r="Y24" s="38">
        <f t="shared" si="31"/>
        <v>714029.05830621067</v>
      </c>
      <c r="Z24" s="39">
        <f t="shared" si="32"/>
        <v>1.0300732777958083E-2</v>
      </c>
    </row>
    <row r="25" spans="1:26" s="2" customFormat="1" x14ac:dyDescent="0.25">
      <c r="A25" s="225"/>
      <c r="B25" s="14">
        <v>9</v>
      </c>
      <c r="C25" s="72">
        <v>75555</v>
      </c>
      <c r="D25" s="73">
        <v>26418</v>
      </c>
      <c r="E25" s="74">
        <v>6533</v>
      </c>
      <c r="F25" s="75">
        <v>1585</v>
      </c>
      <c r="G25" s="83">
        <v>1349</v>
      </c>
      <c r="H25" s="225"/>
      <c r="I25" s="14">
        <v>9</v>
      </c>
      <c r="J25" s="25">
        <f t="shared" si="18"/>
        <v>34536</v>
      </c>
      <c r="K25" s="6">
        <f t="shared" si="24"/>
        <v>6.5695513393621433E-3</v>
      </c>
      <c r="L25" s="26">
        <f t="shared" si="19"/>
        <v>683084.97911576612</v>
      </c>
      <c r="M25" s="25">
        <f t="shared" si="20"/>
        <v>1349</v>
      </c>
      <c r="N25" s="7">
        <f t="shared" si="25"/>
        <v>4.369273223707437E-3</v>
      </c>
      <c r="O25" s="26">
        <f t="shared" si="21"/>
        <v>-151435.24798945416</v>
      </c>
      <c r="P25" s="38">
        <f t="shared" si="26"/>
        <v>531649.73112631193</v>
      </c>
      <c r="Q25" s="33">
        <f t="shared" si="27"/>
        <v>7.6696903971894964E-3</v>
      </c>
      <c r="R25" s="225"/>
      <c r="S25" s="14">
        <v>9</v>
      </c>
      <c r="T25" s="37">
        <f t="shared" si="28"/>
        <v>531649.73112631193</v>
      </c>
      <c r="U25" s="58">
        <f t="shared" si="29"/>
        <v>68350.268873688066</v>
      </c>
      <c r="V25" s="58">
        <f t="shared" si="30"/>
        <v>0</v>
      </c>
      <c r="W25" s="59">
        <f t="shared" si="22"/>
        <v>0</v>
      </c>
      <c r="X25" s="67">
        <f t="shared" si="23"/>
        <v>68350.268873688066</v>
      </c>
      <c r="Y25" s="38">
        <f t="shared" si="31"/>
        <v>600000</v>
      </c>
      <c r="Z25" s="39">
        <f t="shared" si="32"/>
        <v>8.6557256947438887E-3</v>
      </c>
    </row>
    <row r="26" spans="1:26" s="2" customFormat="1" x14ac:dyDescent="0.25">
      <c r="A26" s="225"/>
      <c r="B26" s="14">
        <v>10</v>
      </c>
      <c r="C26" s="72">
        <v>108803</v>
      </c>
      <c r="D26" s="73">
        <v>38043</v>
      </c>
      <c r="E26" s="74">
        <v>10862</v>
      </c>
      <c r="F26" s="75">
        <v>2649</v>
      </c>
      <c r="G26" s="83">
        <v>2736</v>
      </c>
      <c r="H26" s="225"/>
      <c r="I26" s="14">
        <v>10</v>
      </c>
      <c r="J26" s="25">
        <f t="shared" si="18"/>
        <v>51554</v>
      </c>
      <c r="K26" s="6">
        <f t="shared" si="24"/>
        <v>9.8067711880204991E-3</v>
      </c>
      <c r="L26" s="26">
        <f t="shared" si="19"/>
        <v>1019682.7372403928</v>
      </c>
      <c r="M26" s="25">
        <f t="shared" si="20"/>
        <v>2736</v>
      </c>
      <c r="N26" s="7">
        <f t="shared" si="25"/>
        <v>8.8616245663925477E-3</v>
      </c>
      <c r="O26" s="26">
        <f t="shared" si="21"/>
        <v>-307136.27761241404</v>
      </c>
      <c r="P26" s="38">
        <f t="shared" si="26"/>
        <v>712546.45962797874</v>
      </c>
      <c r="Q26" s="33">
        <f t="shared" si="27"/>
        <v>1.0279344498834473E-2</v>
      </c>
      <c r="R26" s="225"/>
      <c r="S26" s="14">
        <v>10</v>
      </c>
      <c r="T26" s="37">
        <f t="shared" si="28"/>
        <v>712546.45962797874</v>
      </c>
      <c r="U26" s="58">
        <f t="shared" si="29"/>
        <v>0</v>
      </c>
      <c r="V26" s="58">
        <f t="shared" si="30"/>
        <v>112546.45962797874</v>
      </c>
      <c r="W26" s="59">
        <f t="shared" si="22"/>
        <v>2.0474367746806644E-3</v>
      </c>
      <c r="X26" s="67">
        <f t="shared" si="23"/>
        <v>-2561.6817782594285</v>
      </c>
      <c r="Y26" s="38">
        <f t="shared" si="31"/>
        <v>709984.77784971928</v>
      </c>
      <c r="Z26" s="39">
        <f t="shared" si="32"/>
        <v>1.0242389140851411E-2</v>
      </c>
    </row>
    <row r="27" spans="1:26" s="2" customFormat="1" x14ac:dyDescent="0.25">
      <c r="A27" s="225"/>
      <c r="B27" s="14">
        <v>11</v>
      </c>
      <c r="C27" s="72">
        <v>152972</v>
      </c>
      <c r="D27" s="73">
        <v>53487</v>
      </c>
      <c r="E27" s="74">
        <v>9071</v>
      </c>
      <c r="F27" s="75">
        <v>3332</v>
      </c>
      <c r="G27" s="83">
        <v>2558</v>
      </c>
      <c r="H27" s="225"/>
      <c r="I27" s="14">
        <v>11</v>
      </c>
      <c r="J27" s="25">
        <f t="shared" si="18"/>
        <v>65890</v>
      </c>
      <c r="K27" s="6">
        <f t="shared" si="24"/>
        <v>1.2533812188747152E-2</v>
      </c>
      <c r="L27" s="26">
        <f t="shared" si="19"/>
        <v>1303233.4165490454</v>
      </c>
      <c r="M27" s="25">
        <f t="shared" si="20"/>
        <v>2558</v>
      </c>
      <c r="N27" s="7">
        <f t="shared" si="25"/>
        <v>8.2851007459181798E-3</v>
      </c>
      <c r="O27" s="26">
        <f t="shared" si="21"/>
        <v>-287154.45838178188</v>
      </c>
      <c r="P27" s="38">
        <f t="shared" si="26"/>
        <v>1016078.9581672635</v>
      </c>
      <c r="Q27" s="33">
        <f t="shared" si="27"/>
        <v>1.4658167910161638E-2</v>
      </c>
      <c r="R27" s="225"/>
      <c r="S27" s="14">
        <v>11</v>
      </c>
      <c r="T27" s="37">
        <f t="shared" si="28"/>
        <v>1016078.9581672635</v>
      </c>
      <c r="U27" s="58">
        <f t="shared" si="29"/>
        <v>0</v>
      </c>
      <c r="V27" s="58">
        <f t="shared" si="30"/>
        <v>416078.95816726354</v>
      </c>
      <c r="W27" s="59">
        <f t="shared" si="22"/>
        <v>7.5692772828075206E-3</v>
      </c>
      <c r="X27" s="67">
        <f t="shared" si="23"/>
        <v>-9470.4168303244951</v>
      </c>
      <c r="Y27" s="38">
        <f t="shared" si="31"/>
        <v>1006608.5413369391</v>
      </c>
      <c r="Z27" s="39">
        <f t="shared" si="32"/>
        <v>1.4521545692998015E-2</v>
      </c>
    </row>
    <row r="28" spans="1:26" s="2" customFormat="1" x14ac:dyDescent="0.25">
      <c r="A28" s="225"/>
      <c r="B28" s="14">
        <v>12</v>
      </c>
      <c r="C28" s="72">
        <v>64820</v>
      </c>
      <c r="D28" s="73">
        <v>22664</v>
      </c>
      <c r="E28" s="74">
        <v>5220</v>
      </c>
      <c r="F28" s="75">
        <v>1110</v>
      </c>
      <c r="G28" s="83">
        <v>1346</v>
      </c>
      <c r="H28" s="225"/>
      <c r="I28" s="14">
        <v>12</v>
      </c>
      <c r="J28" s="25">
        <f t="shared" si="18"/>
        <v>28994</v>
      </c>
      <c r="K28" s="6">
        <f t="shared" si="24"/>
        <v>5.5153338989305644E-3</v>
      </c>
      <c r="L28" s="26">
        <f t="shared" si="19"/>
        <v>573470.17270333914</v>
      </c>
      <c r="M28" s="25">
        <f t="shared" si="20"/>
        <v>1346</v>
      </c>
      <c r="N28" s="7">
        <f t="shared" si="25"/>
        <v>4.3595565301039361E-3</v>
      </c>
      <c r="O28" s="26">
        <f t="shared" si="21"/>
        <v>-151098.47575523</v>
      </c>
      <c r="P28" s="38">
        <f t="shared" si="26"/>
        <v>422371.69694810914</v>
      </c>
      <c r="Q28" s="33">
        <f t="shared" si="27"/>
        <v>6.0932225833438781E-3</v>
      </c>
      <c r="R28" s="225"/>
      <c r="S28" s="14">
        <v>12</v>
      </c>
      <c r="T28" s="37">
        <f t="shared" si="28"/>
        <v>422371.69694810914</v>
      </c>
      <c r="U28" s="58">
        <f t="shared" si="29"/>
        <v>177628.30305189086</v>
      </c>
      <c r="V28" s="58">
        <f t="shared" si="30"/>
        <v>0</v>
      </c>
      <c r="W28" s="59">
        <f t="shared" si="22"/>
        <v>0</v>
      </c>
      <c r="X28" s="67">
        <f t="shared" si="23"/>
        <v>177628.30305189086</v>
      </c>
      <c r="Y28" s="38">
        <f t="shared" si="31"/>
        <v>600000</v>
      </c>
      <c r="Z28" s="39">
        <f t="shared" si="32"/>
        <v>8.6557256947438887E-3</v>
      </c>
    </row>
    <row r="29" spans="1:26" s="2" customFormat="1" x14ac:dyDescent="0.25">
      <c r="A29" s="225"/>
      <c r="B29" s="14">
        <v>13</v>
      </c>
      <c r="C29" s="72">
        <v>12161</v>
      </c>
      <c r="D29" s="73">
        <v>4252</v>
      </c>
      <c r="E29" s="74">
        <v>1216</v>
      </c>
      <c r="F29" s="75">
        <v>222</v>
      </c>
      <c r="G29" s="83">
        <v>433</v>
      </c>
      <c r="H29" s="225"/>
      <c r="I29" s="14">
        <v>13</v>
      </c>
      <c r="J29" s="25">
        <f t="shared" si="18"/>
        <v>5690</v>
      </c>
      <c r="K29" s="6">
        <f t="shared" si="24"/>
        <v>1.0823704864770267E-3</v>
      </c>
      <c r="L29" s="26">
        <f t="shared" si="19"/>
        <v>112542.08742091466</v>
      </c>
      <c r="M29" s="25">
        <f t="shared" si="20"/>
        <v>433</v>
      </c>
      <c r="N29" s="7">
        <f t="shared" si="25"/>
        <v>1.4024427767719201E-3</v>
      </c>
      <c r="O29" s="26">
        <f t="shared" si="21"/>
        <v>-48607.459139683946</v>
      </c>
      <c r="P29" s="38">
        <f t="shared" si="26"/>
        <v>63934.628281230711</v>
      </c>
      <c r="Q29" s="33">
        <f t="shared" si="27"/>
        <v>9.2233434132957997E-4</v>
      </c>
      <c r="R29" s="225"/>
      <c r="S29" s="14">
        <v>13</v>
      </c>
      <c r="T29" s="37">
        <f t="shared" si="28"/>
        <v>63934.628281230711</v>
      </c>
      <c r="U29" s="58">
        <f t="shared" si="29"/>
        <v>536065.37171876931</v>
      </c>
      <c r="V29" s="58">
        <f t="shared" si="30"/>
        <v>0</v>
      </c>
      <c r="W29" s="59">
        <f t="shared" si="22"/>
        <v>0</v>
      </c>
      <c r="X29" s="67">
        <f t="shared" si="23"/>
        <v>536065.37171876931</v>
      </c>
      <c r="Y29" s="38">
        <f t="shared" si="31"/>
        <v>600000</v>
      </c>
      <c r="Z29" s="39">
        <f t="shared" si="32"/>
        <v>8.6557256947438887E-3</v>
      </c>
    </row>
    <row r="30" spans="1:26" s="2" customFormat="1" ht="13.5" thickBot="1" x14ac:dyDescent="0.3">
      <c r="A30" s="226"/>
      <c r="B30" s="15" t="s">
        <v>2</v>
      </c>
      <c r="C30" s="76">
        <f>SUM(C17:C29)</f>
        <v>1314069</v>
      </c>
      <c r="D30" s="213">
        <f t="shared" ref="D30:G30" si="33">SUM(D17:D29)</f>
        <v>459463</v>
      </c>
      <c r="E30" s="77">
        <f t="shared" si="33"/>
        <v>122219</v>
      </c>
      <c r="F30" s="78">
        <f t="shared" si="33"/>
        <v>23087</v>
      </c>
      <c r="G30" s="84">
        <f t="shared" si="33"/>
        <v>29493</v>
      </c>
      <c r="H30" s="226"/>
      <c r="I30" s="15" t="s">
        <v>2</v>
      </c>
      <c r="J30" s="27">
        <f>SUM(J17:J29)</f>
        <v>604769</v>
      </c>
      <c r="K30" s="19">
        <f t="shared" ref="K30:O30" si="34">SUM(K17:K29)</f>
        <v>0.11504114529634885</v>
      </c>
      <c r="L30" s="28">
        <f t="shared" si="34"/>
        <v>11961681.136636054</v>
      </c>
      <c r="M30" s="27">
        <f t="shared" si="34"/>
        <v>29493</v>
      </c>
      <c r="N30" s="19">
        <f t="shared" si="34"/>
        <v>9.5524814816014381E-2</v>
      </c>
      <c r="O30" s="28">
        <f t="shared" si="34"/>
        <v>-3310807.8346575028</v>
      </c>
      <c r="P30" s="42">
        <f>SUM(P17:P29)</f>
        <v>8650873.3019785509</v>
      </c>
      <c r="Q30" s="20">
        <f>P30/$P$31</f>
        <v>0.12479931053651608</v>
      </c>
      <c r="R30" s="226"/>
      <c r="S30" s="15" t="s">
        <v>2</v>
      </c>
      <c r="T30" s="40">
        <f t="shared" ref="T30:Y30" si="35">SUM(T17:T29)</f>
        <v>8650873.3019785509</v>
      </c>
      <c r="U30" s="62">
        <f t="shared" si="35"/>
        <v>1251165.2667071833</v>
      </c>
      <c r="V30" s="62">
        <f t="shared" si="35"/>
        <v>2102038.5686857337</v>
      </c>
      <c r="W30" s="63">
        <f t="shared" si="35"/>
        <v>3.8240128401643377E-2</v>
      </c>
      <c r="X30" s="41">
        <f t="shared" si="35"/>
        <v>1203320.5462566242</v>
      </c>
      <c r="Y30" s="42">
        <f t="shared" si="35"/>
        <v>9854193.848235175</v>
      </c>
      <c r="Z30" s="43">
        <f>Y30/$Y$31</f>
        <v>0.14215866482192727</v>
      </c>
    </row>
    <row r="31" spans="1:26" s="2" customFormat="1" ht="13.5" thickBot="1" x14ac:dyDescent="0.3">
      <c r="B31" s="16" t="s">
        <v>0</v>
      </c>
      <c r="C31" s="79">
        <f>SUM(C16,C30)</f>
        <v>9642118</v>
      </c>
      <c r="D31" s="80">
        <f>SUM(D16,D30)</f>
        <v>3371368</v>
      </c>
      <c r="E31" s="80">
        <f t="shared" ref="E31:G31" si="36">SUM(E16,E30)</f>
        <v>1614679</v>
      </c>
      <c r="F31" s="81">
        <f t="shared" si="36"/>
        <v>270933</v>
      </c>
      <c r="G31" s="85">
        <f t="shared" si="36"/>
        <v>308747</v>
      </c>
      <c r="I31" s="16" t="s">
        <v>0</v>
      </c>
      <c r="J31" s="29">
        <f t="shared" ref="J31:P31" si="37">SUM(J3:J15)+SUM(J17:J29)</f>
        <v>5256980</v>
      </c>
      <c r="K31" s="17">
        <f t="shared" si="37"/>
        <v>1</v>
      </c>
      <c r="L31" s="30">
        <f t="shared" si="37"/>
        <v>103977417</v>
      </c>
      <c r="M31" s="29">
        <f t="shared" si="37"/>
        <v>308747</v>
      </c>
      <c r="N31" s="17">
        <f t="shared" si="37"/>
        <v>1</v>
      </c>
      <c r="O31" s="30">
        <f t="shared" si="37"/>
        <v>-34659139</v>
      </c>
      <c r="P31" s="46">
        <f t="shared" si="37"/>
        <v>69318278</v>
      </c>
      <c r="Q31" s="18">
        <f>P31/$P$31</f>
        <v>1</v>
      </c>
      <c r="S31" s="16" t="s">
        <v>0</v>
      </c>
      <c r="T31" s="44">
        <f>SUM(T16,T30)</f>
        <v>69318278</v>
      </c>
      <c r="U31" s="64">
        <f>SUM(U17:U29)+SUM(U3:U15)</f>
        <v>1251165.2667071833</v>
      </c>
      <c r="V31" s="64">
        <f>SUM(V17:V29)+SUM(V3:V15)</f>
        <v>54969443.266707189</v>
      </c>
      <c r="W31" s="65">
        <f>SUM(W17:W29)+SUM(W3:W15)</f>
        <v>0.99999999999999967</v>
      </c>
      <c r="X31" s="45">
        <f>SUM(X17:X29)+SUM(X3:X15)</f>
        <v>0</v>
      </c>
      <c r="Y31" s="46">
        <f>SUM(Y17:Y29)+SUM(Y3:Y15)</f>
        <v>69318278</v>
      </c>
      <c r="Z31" s="47">
        <f>Y31/$Y$31</f>
        <v>1</v>
      </c>
    </row>
    <row r="32" spans="1:26" ht="15" customHeight="1" x14ac:dyDescent="0.2">
      <c r="A32" s="228" t="s">
        <v>7</v>
      </c>
      <c r="B32" s="228"/>
      <c r="C32" s="228"/>
      <c r="D32" s="228"/>
      <c r="E32" s="228"/>
      <c r="F32" s="228"/>
      <c r="G32" s="86">
        <v>2.86</v>
      </c>
      <c r="H32" s="229" t="s">
        <v>65</v>
      </c>
      <c r="I32" s="229"/>
      <c r="J32" s="229"/>
      <c r="K32" s="229"/>
      <c r="L32" s="229"/>
      <c r="M32" s="229"/>
      <c r="N32" s="229"/>
      <c r="O32" s="229"/>
      <c r="P32" s="229"/>
      <c r="Q32" s="4">
        <v>69318278</v>
      </c>
      <c r="R32" s="4"/>
      <c r="S32" s="230" t="s">
        <v>15</v>
      </c>
      <c r="T32" s="230"/>
      <c r="U32" s="230"/>
      <c r="V32" s="230"/>
      <c r="W32" s="230"/>
      <c r="X32" s="230"/>
      <c r="Y32" s="230"/>
      <c r="Z32" s="5">
        <v>600000</v>
      </c>
    </row>
    <row r="33" spans="8:18" ht="12.75" customHeight="1" x14ac:dyDescent="0.2">
      <c r="H33" s="228" t="s">
        <v>9</v>
      </c>
      <c r="I33" s="228"/>
      <c r="J33" s="228"/>
      <c r="K33" s="228"/>
      <c r="L33" s="228"/>
      <c r="M33" s="228"/>
      <c r="N33" s="228"/>
      <c r="O33" s="228"/>
      <c r="P33" s="228"/>
      <c r="Q33" s="3">
        <v>1.5</v>
      </c>
      <c r="R33" s="3"/>
    </row>
    <row r="34" spans="8:18" ht="12.75" customHeight="1" x14ac:dyDescent="0.2">
      <c r="H34" s="228" t="s">
        <v>10</v>
      </c>
      <c r="I34" s="228"/>
      <c r="J34" s="228"/>
      <c r="K34" s="228"/>
      <c r="L34" s="228"/>
      <c r="M34" s="228"/>
      <c r="N34" s="228"/>
      <c r="O34" s="228"/>
      <c r="P34" s="228"/>
      <c r="Q34" s="3">
        <v>-0.5</v>
      </c>
      <c r="R34" s="3"/>
    </row>
    <row r="35" spans="8:18" x14ac:dyDescent="0.2">
      <c r="R35" s="3"/>
    </row>
  </sheetData>
  <mergeCells count="14">
    <mergeCell ref="A32:F32"/>
    <mergeCell ref="H32:P32"/>
    <mergeCell ref="H33:P33"/>
    <mergeCell ref="H34:P34"/>
    <mergeCell ref="S32:Y32"/>
    <mergeCell ref="R17:R30"/>
    <mergeCell ref="A3:A16"/>
    <mergeCell ref="R1:Z1"/>
    <mergeCell ref="R3:R16"/>
    <mergeCell ref="A1:G1"/>
    <mergeCell ref="H1:Q1"/>
    <mergeCell ref="H3:H16"/>
    <mergeCell ref="H17:H30"/>
    <mergeCell ref="A17:A30"/>
  </mergeCells>
  <pageMargins left="0.25" right="0.25" top="0.75" bottom="0.75" header="0.3" footer="0.3"/>
  <pageSetup orientation="landscape" r:id="rId1"/>
  <headerFooter>
    <oddHeader>&amp;CTexas Department of Housing and Community Affairs 
&amp;"-,Bold"&amp;KFF0000DRAFT &amp;"-,Regular"&amp;K01+0002021 HTC Regional Allocation Formula</oddHeader>
    <oddFooter>&amp;LAs presented to the Board 07/25/2020</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6"/>
  <sheetViews>
    <sheetView view="pageLayout" topLeftCell="A22" zoomScale="60" zoomScaleNormal="100" zoomScalePageLayoutView="60" workbookViewId="0">
      <selection activeCell="Q34" sqref="Q34"/>
    </sheetView>
  </sheetViews>
  <sheetFormatPr defaultColWidth="9.140625" defaultRowHeight="12.75" x14ac:dyDescent="0.2"/>
  <cols>
    <col min="1" max="1" width="6" style="1" customWidth="1"/>
    <col min="2" max="2" width="7.5703125" style="1" bestFit="1" customWidth="1"/>
    <col min="3" max="3" width="31" style="1" customWidth="1"/>
    <col min="4" max="4" width="24.140625" style="1" customWidth="1"/>
    <col min="5" max="5" width="21.5703125" style="1" customWidth="1"/>
    <col min="6" max="7" width="21" style="1" customWidth="1"/>
    <col min="8" max="8" width="6" style="1" customWidth="1"/>
    <col min="9" max="9" width="7.5703125" style="1" bestFit="1" customWidth="1"/>
    <col min="10" max="10" width="10.5703125" style="1" customWidth="1"/>
    <col min="11" max="11" width="14.140625" style="1" customWidth="1"/>
    <col min="12" max="12" width="12.85546875" style="1" bestFit="1" customWidth="1"/>
    <col min="13" max="13" width="16.42578125" style="1" customWidth="1"/>
    <col min="14" max="14" width="19.140625" style="1" customWidth="1"/>
    <col min="15" max="15" width="13.5703125" style="1" bestFit="1" customWidth="1"/>
    <col min="16" max="16" width="17.140625" style="1" customWidth="1"/>
    <col min="17" max="17" width="13.5703125" style="1" bestFit="1" customWidth="1"/>
    <col min="18" max="18" width="6" style="1" customWidth="1"/>
    <col min="19" max="19" width="7.5703125" style="1" bestFit="1" customWidth="1"/>
    <col min="20" max="20" width="16" style="1" customWidth="1"/>
    <col min="21" max="21" width="19.140625" style="1" bestFit="1" customWidth="1"/>
    <col min="22" max="22" width="17" style="1" customWidth="1"/>
    <col min="23" max="23" width="19.42578125" style="1" bestFit="1" customWidth="1"/>
    <col min="24" max="24" width="15.85546875" style="1" customWidth="1"/>
    <col min="25" max="25" width="16" style="1" customWidth="1"/>
    <col min="26" max="26" width="11.5703125" style="1" customWidth="1"/>
    <col min="27" max="28" width="9.140625" style="1"/>
    <col min="29" max="29" width="14.5703125" style="1" bestFit="1" customWidth="1"/>
    <col min="30" max="16384" width="9.140625" style="1"/>
  </cols>
  <sheetData>
    <row r="1" spans="1:30" s="207" customFormat="1" ht="16.5" thickBot="1" x14ac:dyDescent="0.3">
      <c r="A1" s="227" t="s">
        <v>16</v>
      </c>
      <c r="B1" s="227"/>
      <c r="C1" s="227"/>
      <c r="D1" s="227"/>
      <c r="E1" s="227"/>
      <c r="F1" s="227"/>
      <c r="G1" s="227"/>
      <c r="H1" s="227" t="s">
        <v>17</v>
      </c>
      <c r="I1" s="227"/>
      <c r="J1" s="227"/>
      <c r="K1" s="227"/>
      <c r="L1" s="227"/>
      <c r="M1" s="227"/>
      <c r="N1" s="227"/>
      <c r="O1" s="227"/>
      <c r="P1" s="227"/>
      <c r="Q1" s="227"/>
      <c r="R1" s="227" t="s">
        <v>23</v>
      </c>
      <c r="S1" s="227"/>
      <c r="T1" s="227"/>
      <c r="U1" s="227"/>
      <c r="V1" s="227"/>
      <c r="W1" s="227"/>
      <c r="X1" s="227"/>
      <c r="Y1" s="227"/>
      <c r="Z1" s="227"/>
    </row>
    <row r="2" spans="1:30" s="2" customFormat="1" ht="26.25" thickBot="1" x14ac:dyDescent="0.3">
      <c r="B2" s="48" t="s">
        <v>1</v>
      </c>
      <c r="C2" s="49" t="s">
        <v>5</v>
      </c>
      <c r="D2" s="50" t="s">
        <v>6</v>
      </c>
      <c r="E2" s="50" t="s">
        <v>21</v>
      </c>
      <c r="F2" s="51" t="s">
        <v>18</v>
      </c>
      <c r="G2" s="52" t="s">
        <v>13</v>
      </c>
      <c r="I2" s="48" t="s">
        <v>1</v>
      </c>
      <c r="J2" s="53" t="s">
        <v>12</v>
      </c>
      <c r="K2" s="54" t="s">
        <v>14</v>
      </c>
      <c r="L2" s="55" t="s">
        <v>11</v>
      </c>
      <c r="M2" s="56" t="s">
        <v>19</v>
      </c>
      <c r="N2" s="57" t="s">
        <v>20</v>
      </c>
      <c r="O2" s="55" t="s">
        <v>11</v>
      </c>
      <c r="P2" s="22" t="s">
        <v>29</v>
      </c>
      <c r="Q2" s="11" t="s">
        <v>28</v>
      </c>
      <c r="S2" s="12" t="s">
        <v>1</v>
      </c>
      <c r="T2" s="21" t="s">
        <v>8</v>
      </c>
      <c r="U2" s="10" t="s">
        <v>24</v>
      </c>
      <c r="V2" s="10" t="s">
        <v>25</v>
      </c>
      <c r="W2" s="10" t="s">
        <v>27</v>
      </c>
      <c r="X2" s="31" t="s">
        <v>26</v>
      </c>
      <c r="Y2" s="22" t="s">
        <v>22</v>
      </c>
      <c r="Z2" s="11" t="s">
        <v>28</v>
      </c>
    </row>
    <row r="3" spans="1:30" s="2" customFormat="1" ht="12.75" customHeight="1" x14ac:dyDescent="0.25">
      <c r="A3" s="224" t="s">
        <v>3</v>
      </c>
      <c r="B3" s="13">
        <v>1</v>
      </c>
      <c r="C3" s="68">
        <f>[1]Variables!B7</f>
        <v>198173</v>
      </c>
      <c r="D3" s="69">
        <f>C3/$G$33</f>
        <v>69291.258741258745</v>
      </c>
      <c r="E3" s="70">
        <f>[1]Variables!D7</f>
        <v>40017</v>
      </c>
      <c r="F3" s="71">
        <f>[1]Variables!F7</f>
        <v>4492</v>
      </c>
      <c r="G3" s="82">
        <f>[1]Variables!J7</f>
        <v>8591</v>
      </c>
      <c r="H3" s="224" t="s">
        <v>3</v>
      </c>
      <c r="I3" s="13">
        <v>1</v>
      </c>
      <c r="J3" s="23">
        <f t="shared" ref="J3:J15" si="0">SUM(D3:F3)</f>
        <v>113800.25874125875</v>
      </c>
      <c r="K3" s="8">
        <f>J3/$J$31</f>
        <v>2.1647451000415544E-2</v>
      </c>
      <c r="L3" s="24">
        <f t="shared" ref="L3:L15" si="1">K3*($Q$33*$Q$34)</f>
        <v>2250846.0396572743</v>
      </c>
      <c r="M3" s="23">
        <f t="shared" ref="M3:M15" si="2">SUM(G3:G3)</f>
        <v>8591</v>
      </c>
      <c r="N3" s="9">
        <f>M3/$M$31</f>
        <v>2.7825371582557889E-2</v>
      </c>
      <c r="O3" s="24">
        <f t="shared" ref="O3:O15" si="3">N3*($Q$33*$Q$35)</f>
        <v>-964403.42140652379</v>
      </c>
      <c r="P3" s="35">
        <f>L3+O3</f>
        <v>1286442.6182507505</v>
      </c>
      <c r="Q3" s="32">
        <f>P3/$P$31</f>
        <v>1.8558490709344372E-2</v>
      </c>
      <c r="R3" s="224" t="s">
        <v>3</v>
      </c>
      <c r="S3" s="13">
        <v>1</v>
      </c>
      <c r="T3" s="34">
        <f>P3</f>
        <v>1286442.6182507505</v>
      </c>
      <c r="U3" s="60">
        <f>IF(T3&lt;$Z$33, $Z$33-T3, 0)</f>
        <v>0</v>
      </c>
      <c r="V3" s="60">
        <f>IF(T3&lt;$Z$33, 0, T3-$Z$33)</f>
        <v>686442.61825075047</v>
      </c>
      <c r="W3" s="61">
        <f>IF(T3&lt;$Z$33, 0, (T3-$Z$33)/$V$31)</f>
        <v>1.2487716199763703E-2</v>
      </c>
      <c r="X3" s="66">
        <f>IF(T3&lt;$Z$33, U3, -W3*$U$31)</f>
        <v>-15624.007846740309</v>
      </c>
      <c r="Y3" s="35">
        <f>T3+X3</f>
        <v>1270818.6104040102</v>
      </c>
      <c r="Z3" s="36">
        <f>Y3/$Y$31</f>
        <v>1.8333095499054524E-2</v>
      </c>
      <c r="AC3" s="214">
        <f>Y3+Y17</f>
        <v>2003681.8709725616</v>
      </c>
      <c r="AD3" s="215">
        <f>Z3+Z17</f>
        <v>2.8905534424449521E-2</v>
      </c>
    </row>
    <row r="4" spans="1:30" s="2" customFormat="1" x14ac:dyDescent="0.25">
      <c r="A4" s="225"/>
      <c r="B4" s="14">
        <v>2</v>
      </c>
      <c r="C4" s="72">
        <f>[1]Variables!B8</f>
        <v>100142</v>
      </c>
      <c r="D4" s="73">
        <f t="shared" ref="D4:D15" si="4">C4/$G$33</f>
        <v>35014.685314685317</v>
      </c>
      <c r="E4" s="74">
        <f>[1]Variables!D8</f>
        <v>18125</v>
      </c>
      <c r="F4" s="75">
        <f>[1]Variables!F8</f>
        <v>1402</v>
      </c>
      <c r="G4" s="83">
        <f>[1]Variables!J8</f>
        <v>3983</v>
      </c>
      <c r="H4" s="225"/>
      <c r="I4" s="14">
        <v>2</v>
      </c>
      <c r="J4" s="25">
        <f t="shared" si="0"/>
        <v>54541.685314685317</v>
      </c>
      <c r="K4" s="6">
        <f t="shared" ref="K4:K15" si="5">J4/$J$31</f>
        <v>1.0375094691253729E-2</v>
      </c>
      <c r="L4" s="26">
        <f t="shared" si="1"/>
        <v>1078775.5471269751</v>
      </c>
      <c r="M4" s="25">
        <f t="shared" si="2"/>
        <v>3983</v>
      </c>
      <c r="N4" s="7">
        <f t="shared" ref="N4:N15" si="6">M4/$M$31</f>
        <v>1.2900530207580965E-2</v>
      </c>
      <c r="O4" s="26">
        <f t="shared" si="3"/>
        <v>-447121.2696382475</v>
      </c>
      <c r="P4" s="38">
        <f t="shared" ref="P4:P15" si="7">L4+O4</f>
        <v>631654.27748872759</v>
      </c>
      <c r="Q4" s="33">
        <f t="shared" ref="Q4:Q15" si="8">P4/$P$31</f>
        <v>9.1123769330901088E-3</v>
      </c>
      <c r="R4" s="225"/>
      <c r="S4" s="14">
        <v>2</v>
      </c>
      <c r="T4" s="37">
        <f t="shared" ref="T4:T15" si="9">P4</f>
        <v>631654.27748872759</v>
      </c>
      <c r="U4" s="58">
        <f t="shared" ref="U4:U15" si="10">IF(T4&lt;$Z$33, $Z$33-T4, 0)</f>
        <v>0</v>
      </c>
      <c r="V4" s="58">
        <f t="shared" ref="V4:V15" si="11">IF(T4&lt;$Z$33, 0, T4-$Z$33)</f>
        <v>31654.277488727588</v>
      </c>
      <c r="W4" s="59">
        <f t="shared" ref="W4:W15" si="12">IF(T4&lt;$Z$33, 0, (T4-$Z$33)/$V$31)</f>
        <v>5.7585240670969496E-4</v>
      </c>
      <c r="X4" s="67">
        <f t="shared" ref="X4:X15" si="13">IF(T4&lt;$Z$33, U4, -W4*$U$31)</f>
        <v>-720.47781812712981</v>
      </c>
      <c r="Y4" s="38">
        <f t="shared" ref="Y4:Y15" si="14">T4+X4</f>
        <v>630933.79967060045</v>
      </c>
      <c r="Z4" s="39">
        <f t="shared" ref="Z4:Z15" si="15">Y4/$Y$31</f>
        <v>9.1019831691520163E-3</v>
      </c>
      <c r="AC4" s="214">
        <f t="shared" ref="AC4:AD16" si="16">Y4+Y18</f>
        <v>1230933.7996706003</v>
      </c>
      <c r="AD4" s="215">
        <f t="shared" si="16"/>
        <v>1.7757708863895903E-2</v>
      </c>
    </row>
    <row r="5" spans="1:30" s="2" customFormat="1" x14ac:dyDescent="0.25">
      <c r="A5" s="225"/>
      <c r="B5" s="14">
        <v>3</v>
      </c>
      <c r="C5" s="72">
        <f>[1]Variables!B9</f>
        <v>2233165</v>
      </c>
      <c r="D5" s="73">
        <f t="shared" si="4"/>
        <v>780826.92307692312</v>
      </c>
      <c r="E5" s="74">
        <f>[1]Variables!D9</f>
        <v>457642</v>
      </c>
      <c r="F5" s="75">
        <f>[1]Variables!F9</f>
        <v>77940</v>
      </c>
      <c r="G5" s="83">
        <f>[1]Variables!J9</f>
        <v>80382</v>
      </c>
      <c r="H5" s="225"/>
      <c r="I5" s="14">
        <v>3</v>
      </c>
      <c r="J5" s="25">
        <f t="shared" si="0"/>
        <v>1316408.923076923</v>
      </c>
      <c r="K5" s="6">
        <f t="shared" si="5"/>
        <v>0.25041153661705884</v>
      </c>
      <c r="L5" s="26">
        <f t="shared" si="1"/>
        <v>26037144.764442697</v>
      </c>
      <c r="M5" s="25">
        <f t="shared" si="2"/>
        <v>80382</v>
      </c>
      <c r="N5" s="7">
        <f t="shared" si="6"/>
        <v>0.26034908841219512</v>
      </c>
      <c r="O5" s="26">
        <f t="shared" si="3"/>
        <v>-9023475.2438015603</v>
      </c>
      <c r="P5" s="38">
        <f t="shared" si="7"/>
        <v>17013669.520641137</v>
      </c>
      <c r="Q5" s="33">
        <f t="shared" si="8"/>
        <v>0.2454427607194907</v>
      </c>
      <c r="R5" s="225"/>
      <c r="S5" s="14">
        <v>3</v>
      </c>
      <c r="T5" s="37">
        <f t="shared" si="9"/>
        <v>17013669.520641137</v>
      </c>
      <c r="U5" s="58">
        <f t="shared" si="10"/>
        <v>0</v>
      </c>
      <c r="V5" s="58">
        <f t="shared" si="11"/>
        <v>16413669.520641137</v>
      </c>
      <c r="W5" s="59">
        <f t="shared" si="12"/>
        <v>0.29859633029895138</v>
      </c>
      <c r="X5" s="67">
        <f t="shared" si="13"/>
        <v>-373588.83986224438</v>
      </c>
      <c r="Y5" s="38">
        <f t="shared" si="14"/>
        <v>16640080.680778893</v>
      </c>
      <c r="Z5" s="39">
        <f t="shared" si="15"/>
        <v>0.24005328985204874</v>
      </c>
      <c r="AC5" s="214">
        <f t="shared" si="16"/>
        <v>17247117.123941518</v>
      </c>
      <c r="AD5" s="215">
        <f t="shared" si="16"/>
        <v>0.24881052474992985</v>
      </c>
    </row>
    <row r="6" spans="1:30" s="2" customFormat="1" x14ac:dyDescent="0.25">
      <c r="A6" s="225"/>
      <c r="B6" s="14">
        <v>4</v>
      </c>
      <c r="C6" s="72">
        <f>[1]Variables!B10</f>
        <v>207203</v>
      </c>
      <c r="D6" s="73">
        <f t="shared" si="4"/>
        <v>72448.6013986014</v>
      </c>
      <c r="E6" s="74">
        <f>[1]Variables!D10</f>
        <v>29251</v>
      </c>
      <c r="F6" s="75">
        <f>[1]Variables!F10</f>
        <v>2939</v>
      </c>
      <c r="G6" s="83">
        <f>[1]Variables!J10</f>
        <v>6082</v>
      </c>
      <c r="H6" s="225"/>
      <c r="I6" s="14">
        <v>4</v>
      </c>
      <c r="J6" s="25">
        <f t="shared" si="0"/>
        <v>104638.6013986014</v>
      </c>
      <c r="K6" s="6">
        <f t="shared" si="5"/>
        <v>1.9904691092824334E-2</v>
      </c>
      <c r="L6" s="26">
        <f t="shared" si="1"/>
        <v>2069638.3660147814</v>
      </c>
      <c r="M6" s="25">
        <f t="shared" si="2"/>
        <v>6082</v>
      </c>
      <c r="N6" s="7">
        <f t="shared" si="6"/>
        <v>1.969897683216355E-2</v>
      </c>
      <c r="O6" s="26">
        <f t="shared" si="3"/>
        <v>-682749.57618373609</v>
      </c>
      <c r="P6" s="38">
        <f t="shared" si="7"/>
        <v>1386888.7898310453</v>
      </c>
      <c r="Q6" s="33">
        <f t="shared" si="8"/>
        <v>2.0007548223154727E-2</v>
      </c>
      <c r="R6" s="225"/>
      <c r="S6" s="14">
        <v>4</v>
      </c>
      <c r="T6" s="37">
        <f t="shared" si="9"/>
        <v>1386888.7898310453</v>
      </c>
      <c r="U6" s="58">
        <f t="shared" si="10"/>
        <v>0</v>
      </c>
      <c r="V6" s="58">
        <f t="shared" si="11"/>
        <v>786888.78983104532</v>
      </c>
      <c r="W6" s="59">
        <f t="shared" si="12"/>
        <v>1.4315025942337545E-2</v>
      </c>
      <c r="X6" s="67">
        <f t="shared" si="13"/>
        <v>-17910.246683345111</v>
      </c>
      <c r="Y6" s="38">
        <f t="shared" si="14"/>
        <v>1368978.5431477001</v>
      </c>
      <c r="Z6" s="39">
        <f t="shared" si="15"/>
        <v>1.9749171252461006E-2</v>
      </c>
      <c r="AC6" s="214">
        <f t="shared" si="16"/>
        <v>2783623.8393632397</v>
      </c>
      <c r="AD6" s="215">
        <f t="shared" si="16"/>
        <v>4.0157140651463377E-2</v>
      </c>
    </row>
    <row r="7" spans="1:30" s="2" customFormat="1" x14ac:dyDescent="0.25">
      <c r="A7" s="225"/>
      <c r="B7" s="14">
        <v>5</v>
      </c>
      <c r="C7" s="72">
        <f>[1]Variables!B11</f>
        <v>135302</v>
      </c>
      <c r="D7" s="73">
        <f t="shared" si="4"/>
        <v>47308.391608391612</v>
      </c>
      <c r="E7" s="74">
        <f>[1]Variables!D11</f>
        <v>19921</v>
      </c>
      <c r="F7" s="75">
        <f>[1]Variables!F11</f>
        <v>1630</v>
      </c>
      <c r="G7" s="83">
        <f>[1]Variables!J11</f>
        <v>3258</v>
      </c>
      <c r="H7" s="225"/>
      <c r="I7" s="14">
        <v>5</v>
      </c>
      <c r="J7" s="25">
        <f t="shared" si="0"/>
        <v>68859.391608391612</v>
      </c>
      <c r="K7" s="6">
        <f t="shared" si="5"/>
        <v>1.3098654803151592E-2</v>
      </c>
      <c r="L7" s="26">
        <f t="shared" si="1"/>
        <v>1361964.2926063458</v>
      </c>
      <c r="M7" s="25">
        <f t="shared" si="2"/>
        <v>3258</v>
      </c>
      <c r="N7" s="7">
        <f t="shared" si="6"/>
        <v>1.0552329253401653E-2</v>
      </c>
      <c r="O7" s="26">
        <f t="shared" si="3"/>
        <v>-365734.6463674141</v>
      </c>
      <c r="P7" s="38">
        <f t="shared" si="7"/>
        <v>996229.64623893169</v>
      </c>
      <c r="Q7" s="33">
        <f t="shared" si="8"/>
        <v>1.4371817578026559E-2</v>
      </c>
      <c r="R7" s="225"/>
      <c r="S7" s="14">
        <v>5</v>
      </c>
      <c r="T7" s="37">
        <f t="shared" si="9"/>
        <v>996229.64623893169</v>
      </c>
      <c r="U7" s="58">
        <f t="shared" si="10"/>
        <v>0</v>
      </c>
      <c r="V7" s="58">
        <f t="shared" si="11"/>
        <v>396229.64623893169</v>
      </c>
      <c r="W7" s="59">
        <f t="shared" si="12"/>
        <v>7.2081820688427792E-3</v>
      </c>
      <c r="X7" s="67">
        <f t="shared" si="13"/>
        <v>-9018.5179902201344</v>
      </c>
      <c r="Y7" s="38">
        <f t="shared" si="14"/>
        <v>987211.12824871158</v>
      </c>
      <c r="Z7" s="39">
        <f t="shared" si="15"/>
        <v>1.4241714548199129E-2</v>
      </c>
      <c r="AC7" s="214">
        <f t="shared" si="16"/>
        <v>2056252.6549420988</v>
      </c>
      <c r="AD7" s="215">
        <f t="shared" si="16"/>
        <v>2.9663931567112771E-2</v>
      </c>
    </row>
    <row r="8" spans="1:30" s="2" customFormat="1" x14ac:dyDescent="0.25">
      <c r="A8" s="225"/>
      <c r="B8" s="14">
        <v>6</v>
      </c>
      <c r="C8" s="72">
        <f>[1]Variables!B12</f>
        <v>2195301</v>
      </c>
      <c r="D8" s="73">
        <f t="shared" si="4"/>
        <v>767587.76223776222</v>
      </c>
      <c r="E8" s="74">
        <f>[1]Variables!D12</f>
        <v>414865</v>
      </c>
      <c r="F8" s="75">
        <f>[1]Variables!F12</f>
        <v>73495</v>
      </c>
      <c r="G8" s="83">
        <f>[1]Variables!J12</f>
        <v>81787</v>
      </c>
      <c r="H8" s="225"/>
      <c r="I8" s="14">
        <v>6</v>
      </c>
      <c r="J8" s="25">
        <f t="shared" si="0"/>
        <v>1255947.7622377621</v>
      </c>
      <c r="K8" s="6">
        <f t="shared" si="5"/>
        <v>0.23891042026485626</v>
      </c>
      <c r="L8" s="26">
        <f t="shared" si="1"/>
        <v>24841288.393524211</v>
      </c>
      <c r="M8" s="25">
        <f t="shared" si="2"/>
        <v>81787</v>
      </c>
      <c r="N8" s="7">
        <f t="shared" si="6"/>
        <v>0.26489973991650123</v>
      </c>
      <c r="O8" s="26">
        <f t="shared" si="3"/>
        <v>-9181196.9068298638</v>
      </c>
      <c r="P8" s="38">
        <f t="shared" si="7"/>
        <v>15660091.486694347</v>
      </c>
      <c r="Q8" s="33">
        <f t="shared" si="8"/>
        <v>0.2259157604390338</v>
      </c>
      <c r="R8" s="225"/>
      <c r="S8" s="14">
        <v>6</v>
      </c>
      <c r="T8" s="37">
        <f t="shared" si="9"/>
        <v>15660091.486694347</v>
      </c>
      <c r="U8" s="58">
        <f t="shared" si="10"/>
        <v>0</v>
      </c>
      <c r="V8" s="58">
        <f t="shared" si="11"/>
        <v>15060091.486694347</v>
      </c>
      <c r="W8" s="59">
        <f t="shared" si="12"/>
        <v>0.27397213318071956</v>
      </c>
      <c r="X8" s="67">
        <f t="shared" si="13"/>
        <v>-342780.27223943005</v>
      </c>
      <c r="Y8" s="38">
        <f t="shared" si="14"/>
        <v>15317311.214454917</v>
      </c>
      <c r="Z8" s="39">
        <f t="shared" si="15"/>
        <v>0.22097074042224357</v>
      </c>
      <c r="AC8" s="214">
        <f t="shared" si="16"/>
        <v>15917311.214454917</v>
      </c>
      <c r="AD8" s="215">
        <f t="shared" si="16"/>
        <v>0.22962646611698745</v>
      </c>
    </row>
    <row r="9" spans="1:30" s="2" customFormat="1" x14ac:dyDescent="0.25">
      <c r="A9" s="225"/>
      <c r="B9" s="14">
        <v>7</v>
      </c>
      <c r="C9" s="72">
        <f>[1]Variables!B13</f>
        <v>540304</v>
      </c>
      <c r="D9" s="73">
        <f t="shared" si="4"/>
        <v>188917.48251748254</v>
      </c>
      <c r="E9" s="74">
        <f>[1]Variables!D13</f>
        <v>143208</v>
      </c>
      <c r="F9" s="75">
        <f>[1]Variables!F13</f>
        <v>19996</v>
      </c>
      <c r="G9" s="83">
        <f>[1]Variables!J13</f>
        <v>22310</v>
      </c>
      <c r="H9" s="225"/>
      <c r="I9" s="14">
        <v>7</v>
      </c>
      <c r="J9" s="25">
        <f t="shared" si="0"/>
        <v>352121.48251748254</v>
      </c>
      <c r="K9" s="6">
        <f t="shared" si="5"/>
        <v>6.698168021148182E-2</v>
      </c>
      <c r="L9" s="26">
        <f t="shared" si="1"/>
        <v>6964582.0947098937</v>
      </c>
      <c r="M9" s="25">
        <f t="shared" si="2"/>
        <v>22310</v>
      </c>
      <c r="N9" s="7">
        <f t="shared" si="6"/>
        <v>7.225981143136613E-2</v>
      </c>
      <c r="O9" s="26">
        <f t="shared" si="3"/>
        <v>-2504462.8485135077</v>
      </c>
      <c r="P9" s="38">
        <f t="shared" si="7"/>
        <v>4460119.2461963855</v>
      </c>
      <c r="Q9" s="33">
        <f t="shared" si="8"/>
        <v>6.4342614601539658E-2</v>
      </c>
      <c r="R9" s="225"/>
      <c r="S9" s="14">
        <v>7</v>
      </c>
      <c r="T9" s="37">
        <f t="shared" si="9"/>
        <v>4460119.2461963855</v>
      </c>
      <c r="U9" s="58">
        <f t="shared" si="10"/>
        <v>0</v>
      </c>
      <c r="V9" s="58">
        <f t="shared" si="11"/>
        <v>3860119.2461963855</v>
      </c>
      <c r="W9" s="59">
        <f t="shared" si="12"/>
        <v>7.0223019903082134E-2</v>
      </c>
      <c r="X9" s="67">
        <f t="shared" si="13"/>
        <v>-87859.541043086574</v>
      </c>
      <c r="Y9" s="38">
        <f t="shared" si="14"/>
        <v>4372259.7051532986</v>
      </c>
      <c r="Z9" s="39">
        <f t="shared" si="15"/>
        <v>6.3075134456647905E-2</v>
      </c>
      <c r="AC9" s="214">
        <f t="shared" si="16"/>
        <v>4972259.7051532986</v>
      </c>
      <c r="AD9" s="215">
        <f t="shared" si="16"/>
        <v>7.1730860151391795E-2</v>
      </c>
    </row>
    <row r="10" spans="1:30" s="2" customFormat="1" x14ac:dyDescent="0.25">
      <c r="A10" s="225"/>
      <c r="B10" s="14">
        <v>8</v>
      </c>
      <c r="C10" s="72">
        <f>[1]Variables!B14</f>
        <v>338791</v>
      </c>
      <c r="D10" s="73">
        <f t="shared" si="4"/>
        <v>118458.39160839161</v>
      </c>
      <c r="E10" s="74">
        <f>[1]Variables!D14</f>
        <v>68023</v>
      </c>
      <c r="F10" s="75">
        <f>[1]Variables!F14</f>
        <v>6493</v>
      </c>
      <c r="G10" s="83">
        <f>[1]Variables!J14</f>
        <v>12962</v>
      </c>
      <c r="H10" s="225"/>
      <c r="I10" s="14">
        <v>8</v>
      </c>
      <c r="J10" s="25">
        <f t="shared" si="0"/>
        <v>192974.3916083916</v>
      </c>
      <c r="K10" s="6">
        <f t="shared" si="5"/>
        <v>3.6708209039977541E-2</v>
      </c>
      <c r="L10" s="26">
        <f t="shared" si="1"/>
        <v>3816824.7586729145</v>
      </c>
      <c r="M10" s="25">
        <f t="shared" si="2"/>
        <v>12962</v>
      </c>
      <c r="N10" s="7">
        <f t="shared" si="6"/>
        <v>4.198259416285826E-2</v>
      </c>
      <c r="O10" s="26">
        <f t="shared" si="3"/>
        <v>-1455080.566671093</v>
      </c>
      <c r="P10" s="38">
        <f t="shared" si="7"/>
        <v>2361744.1920018215</v>
      </c>
      <c r="Q10" s="33">
        <f t="shared" si="8"/>
        <v>3.4071016478537185E-2</v>
      </c>
      <c r="R10" s="225"/>
      <c r="S10" s="14">
        <v>8</v>
      </c>
      <c r="T10" s="37">
        <f t="shared" si="9"/>
        <v>2361744.1920018215</v>
      </c>
      <c r="U10" s="58">
        <f t="shared" si="10"/>
        <v>0</v>
      </c>
      <c r="V10" s="58">
        <f t="shared" si="11"/>
        <v>1761744.1920018215</v>
      </c>
      <c r="W10" s="59">
        <f t="shared" si="12"/>
        <v>3.2049527376903524E-2</v>
      </c>
      <c r="X10" s="67">
        <f t="shared" si="13"/>
        <v>-40098.770600707132</v>
      </c>
      <c r="Y10" s="38">
        <f t="shared" si="14"/>
        <v>2321645.4214011142</v>
      </c>
      <c r="Z10" s="39">
        <f t="shared" si="15"/>
        <v>3.3492543213510209E-2</v>
      </c>
      <c r="AC10" s="214">
        <f t="shared" si="16"/>
        <v>3035679.5859993715</v>
      </c>
      <c r="AD10" s="215">
        <f t="shared" si="16"/>
        <v>4.3793349655907081E-2</v>
      </c>
    </row>
    <row r="11" spans="1:30" s="2" customFormat="1" x14ac:dyDescent="0.25">
      <c r="A11" s="225"/>
      <c r="B11" s="14">
        <v>9</v>
      </c>
      <c r="C11" s="72">
        <f>[1]Variables!B15</f>
        <v>793672</v>
      </c>
      <c r="D11" s="73">
        <f t="shared" si="4"/>
        <v>277507.69230769231</v>
      </c>
      <c r="E11" s="74">
        <f>[1]Variables!D15</f>
        <v>132528</v>
      </c>
      <c r="F11" s="75">
        <f>[1]Variables!F15</f>
        <v>18118</v>
      </c>
      <c r="G11" s="83">
        <f>[1]Variables!J15</f>
        <v>24890</v>
      </c>
      <c r="H11" s="225"/>
      <c r="I11" s="14">
        <v>9</v>
      </c>
      <c r="J11" s="25">
        <f t="shared" si="0"/>
        <v>428153.69230769231</v>
      </c>
      <c r="K11" s="6">
        <f t="shared" si="5"/>
        <v>8.1444771544420522E-2</v>
      </c>
      <c r="L11" s="26">
        <f t="shared" si="1"/>
        <v>8468416.973343946</v>
      </c>
      <c r="M11" s="25">
        <f t="shared" si="2"/>
        <v>24890</v>
      </c>
      <c r="N11" s="7">
        <f t="shared" si="6"/>
        <v>8.0616167930376653E-2</v>
      </c>
      <c r="O11" s="26">
        <f t="shared" si="3"/>
        <v>-2794086.9699462666</v>
      </c>
      <c r="P11" s="38">
        <f t="shared" si="7"/>
        <v>5674330.003397679</v>
      </c>
      <c r="Q11" s="33">
        <f t="shared" si="8"/>
        <v>8.1859073351442449E-2</v>
      </c>
      <c r="R11" s="225"/>
      <c r="S11" s="14">
        <v>9</v>
      </c>
      <c r="T11" s="37">
        <f t="shared" si="9"/>
        <v>5674330.003397679</v>
      </c>
      <c r="U11" s="58">
        <f t="shared" si="10"/>
        <v>0</v>
      </c>
      <c r="V11" s="58">
        <f t="shared" si="11"/>
        <v>5074330.003397679</v>
      </c>
      <c r="W11" s="59">
        <f t="shared" si="12"/>
        <v>9.231185725014085E-2</v>
      </c>
      <c r="X11" s="67">
        <f t="shared" si="13"/>
        <v>-115495.9929382975</v>
      </c>
      <c r="Y11" s="38">
        <f t="shared" si="14"/>
        <v>5558834.0104593812</v>
      </c>
      <c r="Z11" s="39">
        <f t="shared" si="15"/>
        <v>8.0192903961915807E-2</v>
      </c>
      <c r="AC11" s="214">
        <f t="shared" si="16"/>
        <v>6158834.0104593812</v>
      </c>
      <c r="AD11" s="215">
        <f t="shared" si="16"/>
        <v>8.8848629656659697E-2</v>
      </c>
    </row>
    <row r="12" spans="1:30" s="2" customFormat="1" x14ac:dyDescent="0.25">
      <c r="A12" s="225"/>
      <c r="B12" s="14">
        <v>10</v>
      </c>
      <c r="C12" s="72">
        <f>[1]Variables!B16</f>
        <v>190242</v>
      </c>
      <c r="D12" s="73">
        <f t="shared" si="4"/>
        <v>66518.181818181823</v>
      </c>
      <c r="E12" s="74">
        <f>[1]Variables!D16</f>
        <v>32789</v>
      </c>
      <c r="F12" s="75">
        <f>[1]Variables!F16</f>
        <v>5462</v>
      </c>
      <c r="G12" s="83">
        <f>[1]Variables!J16</f>
        <v>5969</v>
      </c>
      <c r="H12" s="225"/>
      <c r="I12" s="14">
        <v>10</v>
      </c>
      <c r="J12" s="25">
        <f t="shared" si="0"/>
        <v>104769.18181818182</v>
      </c>
      <c r="K12" s="6">
        <f t="shared" si="5"/>
        <v>1.9929530519955233E-2</v>
      </c>
      <c r="L12" s="26">
        <f t="shared" si="1"/>
        <v>2072221.1054876121</v>
      </c>
      <c r="M12" s="25">
        <f t="shared" si="2"/>
        <v>5969</v>
      </c>
      <c r="N12" s="7">
        <f t="shared" si="6"/>
        <v>1.9332981373098364E-2</v>
      </c>
      <c r="O12" s="26">
        <f t="shared" si="3"/>
        <v>-670064.48869462707</v>
      </c>
      <c r="P12" s="38">
        <f t="shared" si="7"/>
        <v>1402156.616792985</v>
      </c>
      <c r="Q12" s="33">
        <f t="shared" si="8"/>
        <v>2.0227805093383667E-2</v>
      </c>
      <c r="R12" s="225"/>
      <c r="S12" s="14">
        <v>10</v>
      </c>
      <c r="T12" s="37">
        <f t="shared" si="9"/>
        <v>1402156.616792985</v>
      </c>
      <c r="U12" s="58">
        <f t="shared" si="10"/>
        <v>0</v>
      </c>
      <c r="V12" s="58">
        <f t="shared" si="11"/>
        <v>802156.61679298501</v>
      </c>
      <c r="W12" s="59">
        <f t="shared" si="12"/>
        <v>1.459277718478467E-2</v>
      </c>
      <c r="X12" s="67">
        <f t="shared" si="13"/>
        <v>-18257.755188664752</v>
      </c>
      <c r="Y12" s="38">
        <f t="shared" si="14"/>
        <v>1383898.8616043204</v>
      </c>
      <c r="Z12" s="39">
        <f t="shared" si="15"/>
        <v>1.9964414892192219E-2</v>
      </c>
      <c r="AC12" s="214">
        <f t="shared" si="16"/>
        <v>2093883.4390405256</v>
      </c>
      <c r="AD12" s="215">
        <f t="shared" si="16"/>
        <v>3.0206801141836291E-2</v>
      </c>
    </row>
    <row r="13" spans="1:30" s="2" customFormat="1" x14ac:dyDescent="0.25">
      <c r="A13" s="225"/>
      <c r="B13" s="14">
        <v>11</v>
      </c>
      <c r="C13" s="72">
        <f>[1]Variables!B17</f>
        <v>875159</v>
      </c>
      <c r="D13" s="73">
        <f t="shared" si="4"/>
        <v>305999.65034965036</v>
      </c>
      <c r="E13" s="74">
        <f>[1]Variables!D17</f>
        <v>68151</v>
      </c>
      <c r="F13" s="75">
        <f>[1]Variables!F17</f>
        <v>23829</v>
      </c>
      <c r="G13" s="83">
        <f>[1]Variables!J17</f>
        <v>13172</v>
      </c>
      <c r="H13" s="225"/>
      <c r="I13" s="14">
        <v>11</v>
      </c>
      <c r="J13" s="25">
        <f t="shared" si="0"/>
        <v>397979.65034965036</v>
      </c>
      <c r="K13" s="6">
        <f t="shared" si="5"/>
        <v>7.5704968296201908E-2</v>
      </c>
      <c r="L13" s="26">
        <f t="shared" si="1"/>
        <v>7871607.0575059652</v>
      </c>
      <c r="M13" s="25">
        <f t="shared" si="2"/>
        <v>13172</v>
      </c>
      <c r="N13" s="7">
        <f t="shared" si="6"/>
        <v>4.2662762715103303E-2</v>
      </c>
      <c r="O13" s="26">
        <f t="shared" si="3"/>
        <v>-1478654.6230667827</v>
      </c>
      <c r="P13" s="38">
        <f t="shared" si="7"/>
        <v>6392952.4344391823</v>
      </c>
      <c r="Q13" s="33">
        <f t="shared" si="8"/>
        <v>9.222607108675121E-2</v>
      </c>
      <c r="R13" s="225"/>
      <c r="S13" s="14">
        <v>11</v>
      </c>
      <c r="T13" s="37">
        <f t="shared" si="9"/>
        <v>6392952.4344391823</v>
      </c>
      <c r="U13" s="58">
        <f t="shared" si="10"/>
        <v>0</v>
      </c>
      <c r="V13" s="58">
        <f t="shared" si="11"/>
        <v>5792952.4344391823</v>
      </c>
      <c r="W13" s="59">
        <f t="shared" si="12"/>
        <v>0.10538498635814804</v>
      </c>
      <c r="X13" s="67">
        <f t="shared" si="13"/>
        <v>-131852.44022597835</v>
      </c>
      <c r="Y13" s="38">
        <f t="shared" si="14"/>
        <v>6261099.9942132039</v>
      </c>
      <c r="Z13" s="39">
        <f t="shared" si="15"/>
        <v>9.0323940162120073E-2</v>
      </c>
      <c r="AC13" s="214">
        <f t="shared" si="16"/>
        <v>7267702.6380682718</v>
      </c>
      <c r="AD13" s="215">
        <f t="shared" si="16"/>
        <v>0.10484540077680915</v>
      </c>
    </row>
    <row r="14" spans="1:30" s="2" customFormat="1" x14ac:dyDescent="0.25">
      <c r="A14" s="225"/>
      <c r="B14" s="14">
        <v>12</v>
      </c>
      <c r="C14" s="72">
        <f>[1]Variables!B18</f>
        <v>125641</v>
      </c>
      <c r="D14" s="73">
        <f t="shared" si="4"/>
        <v>43930.419580419584</v>
      </c>
      <c r="E14" s="74">
        <f>[1]Variables!D18</f>
        <v>21504</v>
      </c>
      <c r="F14" s="75">
        <f>[1]Variables!F18</f>
        <v>4465</v>
      </c>
      <c r="G14" s="83">
        <f>[1]Variables!J18</f>
        <v>4325</v>
      </c>
      <c r="H14" s="225"/>
      <c r="I14" s="14">
        <v>12</v>
      </c>
      <c r="J14" s="25">
        <f t="shared" si="0"/>
        <v>69899.419580419577</v>
      </c>
      <c r="K14" s="6">
        <f t="shared" si="5"/>
        <v>1.329649226690223E-2</v>
      </c>
      <c r="L14" s="26">
        <f t="shared" si="1"/>
        <v>1382534.9210729685</v>
      </c>
      <c r="M14" s="25">
        <f t="shared" si="2"/>
        <v>4325</v>
      </c>
      <c r="N14" s="7">
        <f t="shared" si="6"/>
        <v>1.4008233278380033E-2</v>
      </c>
      <c r="O14" s="26">
        <f t="shared" si="3"/>
        <v>-485513.30433979927</v>
      </c>
      <c r="P14" s="38">
        <f t="shared" si="7"/>
        <v>897021.61673316918</v>
      </c>
      <c r="Q14" s="33">
        <f t="shared" si="8"/>
        <v>1.2940621761163328E-2</v>
      </c>
      <c r="R14" s="225"/>
      <c r="S14" s="14">
        <v>12</v>
      </c>
      <c r="T14" s="37">
        <f t="shared" si="9"/>
        <v>897021.61673316918</v>
      </c>
      <c r="U14" s="58">
        <f t="shared" si="10"/>
        <v>0</v>
      </c>
      <c r="V14" s="58">
        <f t="shared" si="11"/>
        <v>297021.61673316918</v>
      </c>
      <c r="W14" s="59">
        <f t="shared" si="12"/>
        <v>5.4033965204705551E-3</v>
      </c>
      <c r="X14" s="67">
        <f t="shared" si="13"/>
        <v>-6760.4603022992069</v>
      </c>
      <c r="Y14" s="38">
        <f t="shared" si="14"/>
        <v>890261.15643086995</v>
      </c>
      <c r="Z14" s="39">
        <f t="shared" si="15"/>
        <v>1.284309394458515E-2</v>
      </c>
      <c r="AC14" s="214">
        <f t="shared" si="16"/>
        <v>1490261.1564308698</v>
      </c>
      <c r="AD14" s="215">
        <f t="shared" si="16"/>
        <v>2.1498819639329037E-2</v>
      </c>
    </row>
    <row r="15" spans="1:30" s="2" customFormat="1" x14ac:dyDescent="0.25">
      <c r="A15" s="225"/>
      <c r="B15" s="14">
        <v>13</v>
      </c>
      <c r="C15" s="72">
        <f>[1]Variables!B19</f>
        <v>394954</v>
      </c>
      <c r="D15" s="73">
        <f t="shared" si="4"/>
        <v>138095.8041958042</v>
      </c>
      <c r="E15" s="74">
        <f>[1]Variables!D19</f>
        <v>46436</v>
      </c>
      <c r="F15" s="75">
        <f>[1]Variables!F19</f>
        <v>7585</v>
      </c>
      <c r="G15" s="83">
        <f>[1]Variables!J19</f>
        <v>11543</v>
      </c>
      <c r="H15" s="225"/>
      <c r="I15" s="14">
        <v>13</v>
      </c>
      <c r="J15" s="25">
        <f t="shared" si="0"/>
        <v>192116.8041958042</v>
      </c>
      <c r="K15" s="6">
        <f t="shared" si="5"/>
        <v>3.6545076005853536E-2</v>
      </c>
      <c r="L15" s="26">
        <f t="shared" si="1"/>
        <v>3799862.6071573277</v>
      </c>
      <c r="M15" s="25">
        <f t="shared" si="2"/>
        <v>11543</v>
      </c>
      <c r="N15" s="7">
        <f t="shared" si="6"/>
        <v>3.738659808840248E-2</v>
      </c>
      <c r="O15" s="26">
        <f t="shared" si="3"/>
        <v>-1295787.2998830758</v>
      </c>
      <c r="P15" s="38">
        <f t="shared" si="7"/>
        <v>2504075.3072742522</v>
      </c>
      <c r="Q15" s="33">
        <f t="shared" si="8"/>
        <v>3.6124314964579074E-2</v>
      </c>
      <c r="R15" s="225"/>
      <c r="S15" s="14">
        <v>13</v>
      </c>
      <c r="T15" s="37">
        <f t="shared" si="9"/>
        <v>2504075.3072742522</v>
      </c>
      <c r="U15" s="58">
        <f t="shared" si="10"/>
        <v>0</v>
      </c>
      <c r="V15" s="58">
        <f t="shared" si="11"/>
        <v>1904075.3072742522</v>
      </c>
      <c r="W15" s="59">
        <f t="shared" si="12"/>
        <v>3.4638805091692364E-2</v>
      </c>
      <c r="X15" s="67">
        <f t="shared" si="13"/>
        <v>-43338.345770906482</v>
      </c>
      <c r="Y15" s="38">
        <f t="shared" si="14"/>
        <v>2460736.9615033455</v>
      </c>
      <c r="Z15" s="39">
        <f t="shared" si="15"/>
        <v>3.5499106909484185E-2</v>
      </c>
      <c r="AC15" s="214">
        <f t="shared" si="16"/>
        <v>3060736.9615033455</v>
      </c>
      <c r="AD15" s="215">
        <f t="shared" si="16"/>
        <v>4.4154832604228075E-2</v>
      </c>
    </row>
    <row r="16" spans="1:30" s="2" customFormat="1" ht="15" customHeight="1" thickBot="1" x14ac:dyDescent="0.3">
      <c r="A16" s="226"/>
      <c r="B16" s="15" t="s">
        <v>2</v>
      </c>
      <c r="C16" s="76">
        <f>SUM(C3:C15)</f>
        <v>8328049</v>
      </c>
      <c r="D16" s="77">
        <f t="shared" ref="D16:G16" si="17">SUM(D3:D15)</f>
        <v>2911905.2447552448</v>
      </c>
      <c r="E16" s="77">
        <f t="shared" si="17"/>
        <v>1492460</v>
      </c>
      <c r="F16" s="78">
        <f t="shared" si="17"/>
        <v>247846</v>
      </c>
      <c r="G16" s="84">
        <f t="shared" si="17"/>
        <v>279254</v>
      </c>
      <c r="H16" s="226"/>
      <c r="I16" s="15" t="s">
        <v>2</v>
      </c>
      <c r="J16" s="27">
        <f>SUM(J3:J15)</f>
        <v>4652211.2447552448</v>
      </c>
      <c r="K16" s="19">
        <f t="shared" ref="K16:O16" si="18">SUM(K3:K15)</f>
        <v>0.88495857635435304</v>
      </c>
      <c r="L16" s="28">
        <f t="shared" si="18"/>
        <v>92015706.921322942</v>
      </c>
      <c r="M16" s="27">
        <f t="shared" si="18"/>
        <v>279254</v>
      </c>
      <c r="N16" s="19">
        <f t="shared" si="18"/>
        <v>0.90447518518398562</v>
      </c>
      <c r="O16" s="28">
        <f t="shared" si="18"/>
        <v>-31348331.165342495</v>
      </c>
      <c r="P16" s="42">
        <f>SUM(P3:P15)</f>
        <v>60667375.75598041</v>
      </c>
      <c r="Q16" s="20">
        <f>P16/$P$31</f>
        <v>0.87520027193953676</v>
      </c>
      <c r="R16" s="226"/>
      <c r="S16" s="15" t="s">
        <v>2</v>
      </c>
      <c r="T16" s="40">
        <f t="shared" ref="T16:Y16" si="19">SUM(T3:T15)</f>
        <v>60667375.75598041</v>
      </c>
      <c r="U16" s="62">
        <f t="shared" si="19"/>
        <v>0</v>
      </c>
      <c r="V16" s="62">
        <f t="shared" si="19"/>
        <v>52867375.75598041</v>
      </c>
      <c r="W16" s="63">
        <f t="shared" si="19"/>
        <v>0.9617596097825466</v>
      </c>
      <c r="X16" s="41">
        <f t="shared" si="19"/>
        <v>-1203305.668510047</v>
      </c>
      <c r="Y16" s="42">
        <f t="shared" si="19"/>
        <v>59464070.087470368</v>
      </c>
      <c r="Z16" s="43">
        <f>Y16/$Y$31</f>
        <v>0.85784113228361458</v>
      </c>
      <c r="AC16" s="214">
        <f t="shared" si="16"/>
        <v>69318278</v>
      </c>
      <c r="AD16" s="215">
        <f t="shared" si="16"/>
        <v>1</v>
      </c>
    </row>
    <row r="17" spans="1:26" s="2" customFormat="1" ht="12.75" customHeight="1" x14ac:dyDescent="0.25">
      <c r="A17" s="224" t="s">
        <v>4</v>
      </c>
      <c r="B17" s="13">
        <v>1</v>
      </c>
      <c r="C17" s="68">
        <f>[1]Variables!B23</f>
        <v>121455</v>
      </c>
      <c r="D17" s="69">
        <f>C17/$G$33</f>
        <v>42466.783216783217</v>
      </c>
      <c r="E17" s="70">
        <f>[1]Variables!D23</f>
        <v>9494</v>
      </c>
      <c r="F17" s="71">
        <f>[1]Variables!F23</f>
        <v>2542</v>
      </c>
      <c r="G17" s="82">
        <f>[1]Variables!J23</f>
        <v>3047</v>
      </c>
      <c r="H17" s="224" t="s">
        <v>4</v>
      </c>
      <c r="I17" s="13">
        <v>1</v>
      </c>
      <c r="J17" s="23">
        <f t="shared" ref="J17:J29" si="20">SUM(D17:F17)</f>
        <v>54502.783216783217</v>
      </c>
      <c r="K17" s="8">
        <f>J17/$J$31</f>
        <v>1.0367694609149665E-2</v>
      </c>
      <c r="L17" s="24">
        <f t="shared" ref="L17:L29" si="21">K17*($Q$33*$Q$34)</f>
        <v>1078006.1057042067</v>
      </c>
      <c r="M17" s="23">
        <f t="shared" ref="M17:M29" si="22">SUM(G17:G17)</f>
        <v>3047</v>
      </c>
      <c r="N17" s="9">
        <f>M17/$M$31</f>
        <v>9.8689218032887768E-3</v>
      </c>
      <c r="O17" s="24">
        <f t="shared" ref="O17:O29" si="23">N17*($Q$33*$Q$35)</f>
        <v>-342048.33256031637</v>
      </c>
      <c r="P17" s="35">
        <f>L17+O17</f>
        <v>735957.77314389031</v>
      </c>
      <c r="Q17" s="32">
        <f>P17/$P$31</f>
        <v>1.0617081012080108E-2</v>
      </c>
      <c r="R17" s="224" t="s">
        <v>4</v>
      </c>
      <c r="S17" s="13">
        <v>1</v>
      </c>
      <c r="T17" s="34">
        <f>P17</f>
        <v>735957.77314389031</v>
      </c>
      <c r="U17" s="60">
        <f>IF(T17&lt;$Z$33, $Z$33-T17, 0)</f>
        <v>0</v>
      </c>
      <c r="V17" s="60">
        <f>IF(T17&lt;$Z$33, 0, T17-$Z$33)</f>
        <v>135957.77314389031</v>
      </c>
      <c r="W17" s="61">
        <f>IF(T17&lt;$Z$33, 0, (T17-$Z$33)/$V$31)</f>
        <v>2.473334319624904E-3</v>
      </c>
      <c r="X17" s="66">
        <f>IF(T17&lt;$Z$33, U17, -W17*$U$31)</f>
        <v>-3094.512575338862</v>
      </c>
      <c r="Y17" s="35">
        <f>T17+X17</f>
        <v>732863.26056855149</v>
      </c>
      <c r="Z17" s="36">
        <f>Y17/$Y$31</f>
        <v>1.0572438925394995E-2</v>
      </c>
    </row>
    <row r="18" spans="1:26" s="2" customFormat="1" x14ac:dyDescent="0.25">
      <c r="A18" s="225"/>
      <c r="B18" s="14">
        <v>2</v>
      </c>
      <c r="C18" s="72">
        <f>[1]Variables!B24</f>
        <v>95796</v>
      </c>
      <c r="D18" s="73">
        <f t="shared" ref="D18:D29" si="24">C18/$G$33</f>
        <v>33495.104895104894</v>
      </c>
      <c r="E18" s="74">
        <f>[1]Variables!D24</f>
        <v>7681</v>
      </c>
      <c r="F18" s="75">
        <f>[1]Variables!F24</f>
        <v>895</v>
      </c>
      <c r="G18" s="83">
        <f>[1]Variables!J24</f>
        <v>2764</v>
      </c>
      <c r="H18" s="225"/>
      <c r="I18" s="14">
        <v>2</v>
      </c>
      <c r="J18" s="25">
        <f t="shared" si="20"/>
        <v>42071.104895104894</v>
      </c>
      <c r="K18" s="6">
        <f t="shared" ref="K18:K29" si="25">J18/$J$31</f>
        <v>8.0029008002592186E-3</v>
      </c>
      <c r="L18" s="26">
        <f t="shared" si="21"/>
        <v>832120.95371818647</v>
      </c>
      <c r="M18" s="25">
        <f t="shared" si="22"/>
        <v>2764</v>
      </c>
      <c r="N18" s="7">
        <f t="shared" ref="N18:N29" si="26">M18/$M$31</f>
        <v>8.9523137066918872E-3</v>
      </c>
      <c r="O18" s="26">
        <f t="shared" si="23"/>
        <v>-310279.48513183935</v>
      </c>
      <c r="P18" s="38">
        <f t="shared" ref="P18:P29" si="27">L18+O18</f>
        <v>521841.46858634712</v>
      </c>
      <c r="Q18" s="33">
        <f t="shared" ref="Q18:Q29" si="28">P18/$P$31</f>
        <v>7.5281943470428842E-3</v>
      </c>
      <c r="R18" s="225"/>
      <c r="S18" s="14">
        <v>2</v>
      </c>
      <c r="T18" s="37">
        <f t="shared" ref="T18:T29" si="29">P18</f>
        <v>521841.46858634712</v>
      </c>
      <c r="U18" s="58">
        <f t="shared" ref="U18:U29" si="30">IF(T18&lt;$Z$33, $Z$33-T18, 0)</f>
        <v>78158.531413652876</v>
      </c>
      <c r="V18" s="58">
        <f t="shared" ref="V18:V29" si="31">IF(T18&lt;$Z$33, 0, T18-$Z$33)</f>
        <v>0</v>
      </c>
      <c r="W18" s="59">
        <f t="shared" ref="W18:W29" si="32">IF(T18&lt;$Z$33, 0, (T18-$Z$33)/$V$31)</f>
        <v>0</v>
      </c>
      <c r="X18" s="67">
        <f t="shared" ref="X18:X29" si="33">IF(T18&lt;$Z$33, U18, -W18*$U$31)</f>
        <v>78158.531413652876</v>
      </c>
      <c r="Y18" s="38">
        <f t="shared" ref="Y18:Y29" si="34">T18+X18</f>
        <v>600000</v>
      </c>
      <c r="Z18" s="39">
        <f t="shared" ref="Z18:Z29" si="35">Y18/$Y$31</f>
        <v>8.6557256947438887E-3</v>
      </c>
    </row>
    <row r="19" spans="1:26" s="2" customFormat="1" x14ac:dyDescent="0.25">
      <c r="A19" s="225"/>
      <c r="B19" s="14">
        <v>3</v>
      </c>
      <c r="C19" s="72">
        <f>[1]Variables!B25</f>
        <v>90732</v>
      </c>
      <c r="D19" s="73">
        <f t="shared" si="24"/>
        <v>31724.475524475525</v>
      </c>
      <c r="E19" s="74">
        <f>[1]Variables!D25</f>
        <v>11549</v>
      </c>
      <c r="F19" s="75">
        <f>[1]Variables!F25</f>
        <v>1456</v>
      </c>
      <c r="G19" s="83">
        <f>[1]Variables!J25</f>
        <v>2472</v>
      </c>
      <c r="H19" s="225"/>
      <c r="I19" s="14">
        <v>3</v>
      </c>
      <c r="J19" s="25">
        <f t="shared" si="20"/>
        <v>44729.475524475522</v>
      </c>
      <c r="K19" s="6">
        <f t="shared" si="25"/>
        <v>8.5085846060499043E-3</v>
      </c>
      <c r="L19" s="26">
        <f t="shared" si="21"/>
        <v>884700.64966303157</v>
      </c>
      <c r="M19" s="25">
        <f t="shared" si="22"/>
        <v>2472</v>
      </c>
      <c r="N19" s="7">
        <f t="shared" si="26"/>
        <v>8.006555529284495E-3</v>
      </c>
      <c r="O19" s="26">
        <f t="shared" si="23"/>
        <v>-277500.32100068987</v>
      </c>
      <c r="P19" s="38">
        <f t="shared" si="27"/>
        <v>607200.32866234169</v>
      </c>
      <c r="Q19" s="33">
        <f t="shared" si="28"/>
        <v>8.7595991444326081E-3</v>
      </c>
      <c r="R19" s="225"/>
      <c r="S19" s="14">
        <v>3</v>
      </c>
      <c r="T19" s="37">
        <f t="shared" si="29"/>
        <v>607200.32866234169</v>
      </c>
      <c r="U19" s="58">
        <f t="shared" si="30"/>
        <v>0</v>
      </c>
      <c r="V19" s="58">
        <f t="shared" si="31"/>
        <v>7200.3286623416934</v>
      </c>
      <c r="W19" s="59">
        <f t="shared" si="32"/>
        <v>1.3098787646588403E-4</v>
      </c>
      <c r="X19" s="67">
        <f t="shared" si="33"/>
        <v>-163.88549971767839</v>
      </c>
      <c r="Y19" s="38">
        <f t="shared" si="34"/>
        <v>607036.44316262403</v>
      </c>
      <c r="Z19" s="39">
        <f t="shared" si="35"/>
        <v>8.7572348978811054E-3</v>
      </c>
    </row>
    <row r="20" spans="1:26" s="2" customFormat="1" x14ac:dyDescent="0.25">
      <c r="A20" s="225"/>
      <c r="B20" s="14">
        <v>4</v>
      </c>
      <c r="C20" s="72">
        <f>[1]Variables!B26</f>
        <v>226381</v>
      </c>
      <c r="D20" s="73">
        <f t="shared" si="24"/>
        <v>79154.195804195813</v>
      </c>
      <c r="E20" s="74">
        <f>[1]Variables!D26</f>
        <v>21152</v>
      </c>
      <c r="F20" s="75">
        <f>[1]Variables!F26</f>
        <v>3284</v>
      </c>
      <c r="G20" s="83">
        <f>[1]Variables!J26</f>
        <v>5481</v>
      </c>
      <c r="H20" s="225"/>
      <c r="I20" s="14">
        <v>4</v>
      </c>
      <c r="J20" s="25">
        <f t="shared" si="20"/>
        <v>103590.19580419581</v>
      </c>
      <c r="K20" s="6">
        <f t="shared" si="25"/>
        <v>1.9705260010817238E-2</v>
      </c>
      <c r="L20" s="26">
        <f t="shared" si="21"/>
        <v>2048902.0372381685</v>
      </c>
      <c r="M20" s="25">
        <f t="shared" si="22"/>
        <v>5481</v>
      </c>
      <c r="N20" s="7">
        <f t="shared" si="26"/>
        <v>1.7752399213595598E-2</v>
      </c>
      <c r="O20" s="26">
        <f t="shared" si="23"/>
        <v>-615282.87192750047</v>
      </c>
      <c r="P20" s="38">
        <f t="shared" si="27"/>
        <v>1433619.1653106681</v>
      </c>
      <c r="Q20" s="33">
        <f t="shared" si="28"/>
        <v>2.068169040942806E-2</v>
      </c>
      <c r="R20" s="225"/>
      <c r="S20" s="14">
        <v>4</v>
      </c>
      <c r="T20" s="37">
        <f t="shared" si="29"/>
        <v>1433619.1653106681</v>
      </c>
      <c r="U20" s="58">
        <f t="shared" si="30"/>
        <v>0</v>
      </c>
      <c r="V20" s="58">
        <f t="shared" si="31"/>
        <v>833619.16531066806</v>
      </c>
      <c r="W20" s="59">
        <f t="shared" si="32"/>
        <v>1.516514167143518E-2</v>
      </c>
      <c r="X20" s="67">
        <f t="shared" si="33"/>
        <v>-18973.86909512847</v>
      </c>
      <c r="Y20" s="38">
        <f t="shared" si="34"/>
        <v>1414645.2962155396</v>
      </c>
      <c r="Z20" s="39">
        <f t="shared" si="35"/>
        <v>2.0407969399002374E-2</v>
      </c>
    </row>
    <row r="21" spans="1:26" s="2" customFormat="1" x14ac:dyDescent="0.25">
      <c r="A21" s="225"/>
      <c r="B21" s="14">
        <v>5</v>
      </c>
      <c r="C21" s="72">
        <f>[1]Variables!B27</f>
        <v>154853</v>
      </c>
      <c r="D21" s="73">
        <f t="shared" si="24"/>
        <v>54144.405594405594</v>
      </c>
      <c r="E21" s="74">
        <f>[1]Variables!D27</f>
        <v>17122</v>
      </c>
      <c r="F21" s="75">
        <f>[1]Variables!F27</f>
        <v>2292</v>
      </c>
      <c r="G21" s="83">
        <f>[1]Variables!J27</f>
        <v>3340</v>
      </c>
      <c r="H21" s="225"/>
      <c r="I21" s="14">
        <v>5</v>
      </c>
      <c r="J21" s="25">
        <f t="shared" si="20"/>
        <v>73558.405594405602</v>
      </c>
      <c r="K21" s="6">
        <f t="shared" si="25"/>
        <v>1.3992516347383965E-2</v>
      </c>
      <c r="L21" s="26">
        <f t="shared" si="21"/>
        <v>1454905.7071312594</v>
      </c>
      <c r="M21" s="25">
        <f t="shared" si="22"/>
        <v>3340</v>
      </c>
      <c r="N21" s="7">
        <f t="shared" si="26"/>
        <v>1.0817918878564002E-2</v>
      </c>
      <c r="O21" s="26">
        <f t="shared" si="23"/>
        <v>-374939.75410287385</v>
      </c>
      <c r="P21" s="38">
        <f t="shared" si="27"/>
        <v>1079965.9530283855</v>
      </c>
      <c r="Q21" s="33">
        <f t="shared" si="28"/>
        <v>1.5579815081793947E-2</v>
      </c>
      <c r="R21" s="225"/>
      <c r="S21" s="14">
        <v>5</v>
      </c>
      <c r="T21" s="37">
        <f t="shared" si="29"/>
        <v>1079965.9530283855</v>
      </c>
      <c r="U21" s="58">
        <f t="shared" si="30"/>
        <v>0</v>
      </c>
      <c r="V21" s="58">
        <f t="shared" si="31"/>
        <v>479965.95302838553</v>
      </c>
      <c r="W21" s="59">
        <f t="shared" si="32"/>
        <v>8.7315071174356561E-3</v>
      </c>
      <c r="X21" s="67">
        <f t="shared" si="33"/>
        <v>-10924.426334998305</v>
      </c>
      <c r="Y21" s="38">
        <f t="shared" si="34"/>
        <v>1069041.5266933872</v>
      </c>
      <c r="Z21" s="39">
        <f t="shared" si="35"/>
        <v>1.5422217018913643E-2</v>
      </c>
    </row>
    <row r="22" spans="1:26" s="2" customFormat="1" x14ac:dyDescent="0.25">
      <c r="A22" s="225"/>
      <c r="B22" s="14">
        <v>6</v>
      </c>
      <c r="C22" s="72">
        <f>[1]Variables!B28</f>
        <v>69928</v>
      </c>
      <c r="D22" s="73">
        <f t="shared" si="24"/>
        <v>24450.34965034965</v>
      </c>
      <c r="E22" s="74">
        <f>[1]Variables!D28</f>
        <v>9609</v>
      </c>
      <c r="F22" s="75">
        <f>[1]Variables!F28</f>
        <v>1529</v>
      </c>
      <c r="G22" s="83">
        <f>[1]Variables!J28</f>
        <v>1534</v>
      </c>
      <c r="H22" s="225"/>
      <c r="I22" s="14">
        <v>6</v>
      </c>
      <c r="J22" s="25">
        <f t="shared" si="20"/>
        <v>35588.34965034965</v>
      </c>
      <c r="K22" s="6">
        <f t="shared" si="25"/>
        <v>6.7697302603960527E-3</v>
      </c>
      <c r="L22" s="26">
        <f t="shared" si="21"/>
        <v>703899.06626271899</v>
      </c>
      <c r="M22" s="25">
        <f t="shared" si="22"/>
        <v>1534</v>
      </c>
      <c r="N22" s="7">
        <f t="shared" si="26"/>
        <v>4.9684693292566407E-3</v>
      </c>
      <c r="O22" s="26">
        <f t="shared" si="23"/>
        <v>-172202.86909994268</v>
      </c>
      <c r="P22" s="38">
        <f t="shared" si="27"/>
        <v>531696.19716277625</v>
      </c>
      <c r="Q22" s="33">
        <f t="shared" si="28"/>
        <v>7.6703607259657582E-3</v>
      </c>
      <c r="R22" s="225"/>
      <c r="S22" s="14">
        <v>6</v>
      </c>
      <c r="T22" s="37">
        <f t="shared" si="29"/>
        <v>531696.19716277625</v>
      </c>
      <c r="U22" s="58">
        <f t="shared" si="30"/>
        <v>68303.802837223746</v>
      </c>
      <c r="V22" s="58">
        <f t="shared" si="31"/>
        <v>0</v>
      </c>
      <c r="W22" s="59">
        <f t="shared" si="32"/>
        <v>0</v>
      </c>
      <c r="X22" s="67">
        <f t="shared" si="33"/>
        <v>68303.802837223746</v>
      </c>
      <c r="Y22" s="38">
        <f t="shared" si="34"/>
        <v>600000</v>
      </c>
      <c r="Z22" s="39">
        <f t="shared" si="35"/>
        <v>8.6557256947438887E-3</v>
      </c>
    </row>
    <row r="23" spans="1:26" s="2" customFormat="1" x14ac:dyDescent="0.25">
      <c r="A23" s="225"/>
      <c r="B23" s="14">
        <v>7</v>
      </c>
      <c r="C23" s="72">
        <f>[1]Variables!B29</f>
        <v>37023</v>
      </c>
      <c r="D23" s="73">
        <f t="shared" si="24"/>
        <v>12945.104895104896</v>
      </c>
      <c r="E23" s="74">
        <f>[1]Variables!D29</f>
        <v>3739</v>
      </c>
      <c r="F23" s="75">
        <f>[1]Variables!F29</f>
        <v>636</v>
      </c>
      <c r="G23" s="83">
        <f>[1]Variables!J29</f>
        <v>581</v>
      </c>
      <c r="H23" s="225"/>
      <c r="I23" s="14">
        <v>7</v>
      </c>
      <c r="J23" s="25">
        <f t="shared" si="20"/>
        <v>17320.104895104894</v>
      </c>
      <c r="K23" s="6">
        <f t="shared" si="25"/>
        <v>3.2946860243201364E-3</v>
      </c>
      <c r="L23" s="26">
        <f t="shared" si="21"/>
        <v>342572.94263480697</v>
      </c>
      <c r="M23" s="25">
        <f t="shared" si="22"/>
        <v>581</v>
      </c>
      <c r="N23" s="7">
        <f t="shared" si="26"/>
        <v>1.881799661211283E-3</v>
      </c>
      <c r="O23" s="26">
        <f t="shared" si="23"/>
        <v>-65221.556028074767</v>
      </c>
      <c r="P23" s="38">
        <f t="shared" si="27"/>
        <v>277351.38660673221</v>
      </c>
      <c r="Q23" s="33">
        <f t="shared" si="28"/>
        <v>4.001129205874563E-3</v>
      </c>
      <c r="R23" s="225"/>
      <c r="S23" s="14">
        <v>7</v>
      </c>
      <c r="T23" s="37">
        <f t="shared" si="29"/>
        <v>277351.38660673221</v>
      </c>
      <c r="U23" s="58">
        <f t="shared" si="30"/>
        <v>322648.61339326779</v>
      </c>
      <c r="V23" s="58">
        <f t="shared" si="31"/>
        <v>0</v>
      </c>
      <c r="W23" s="59">
        <f t="shared" si="32"/>
        <v>0</v>
      </c>
      <c r="X23" s="67">
        <f t="shared" si="33"/>
        <v>322648.61339326779</v>
      </c>
      <c r="Y23" s="38">
        <f t="shared" si="34"/>
        <v>600000</v>
      </c>
      <c r="Z23" s="39">
        <f t="shared" si="35"/>
        <v>8.6557256947438887E-3</v>
      </c>
    </row>
    <row r="24" spans="1:26" s="2" customFormat="1" x14ac:dyDescent="0.25">
      <c r="A24" s="225"/>
      <c r="B24" s="14">
        <v>8</v>
      </c>
      <c r="C24" s="72">
        <f>[1]Variables!B30</f>
        <v>103590</v>
      </c>
      <c r="D24" s="73">
        <f t="shared" si="24"/>
        <v>36220.279720279723</v>
      </c>
      <c r="E24" s="74">
        <f>[1]Variables!D30</f>
        <v>8971</v>
      </c>
      <c r="F24" s="75">
        <f>[1]Variables!F30</f>
        <v>1555</v>
      </c>
      <c r="G24" s="83">
        <f>[1]Variables!J30</f>
        <v>1852</v>
      </c>
      <c r="H24" s="225"/>
      <c r="I24" s="14">
        <v>8</v>
      </c>
      <c r="J24" s="25">
        <f t="shared" si="20"/>
        <v>46746.279720279723</v>
      </c>
      <c r="K24" s="6">
        <f t="shared" si="25"/>
        <v>8.8922275826917082E-3</v>
      </c>
      <c r="L24" s="26">
        <f t="shared" si="21"/>
        <v>924590.85542443767</v>
      </c>
      <c r="M24" s="25">
        <f t="shared" si="22"/>
        <v>1852</v>
      </c>
      <c r="N24" s="7">
        <f t="shared" si="26"/>
        <v>5.9984388512277038E-3</v>
      </c>
      <c r="O24" s="26">
        <f t="shared" si="23"/>
        <v>-207900.72592770131</v>
      </c>
      <c r="P24" s="38">
        <f t="shared" si="27"/>
        <v>716690.12949673634</v>
      </c>
      <c r="Q24" s="33">
        <f t="shared" si="28"/>
        <v>1.0339121948423709E-2</v>
      </c>
      <c r="R24" s="225"/>
      <c r="S24" s="14">
        <v>8</v>
      </c>
      <c r="T24" s="37">
        <f t="shared" si="29"/>
        <v>716690.12949673634</v>
      </c>
      <c r="U24" s="58">
        <f t="shared" si="30"/>
        <v>0</v>
      </c>
      <c r="V24" s="58">
        <f t="shared" si="31"/>
        <v>116690.12949673634</v>
      </c>
      <c r="W24" s="59">
        <f t="shared" si="32"/>
        <v>2.1228186912145086E-3</v>
      </c>
      <c r="X24" s="67">
        <f t="shared" si="33"/>
        <v>-2655.9648984792007</v>
      </c>
      <c r="Y24" s="38">
        <f t="shared" si="34"/>
        <v>714034.16459825716</v>
      </c>
      <c r="Z24" s="39">
        <f t="shared" si="35"/>
        <v>1.030080644239687E-2</v>
      </c>
    </row>
    <row r="25" spans="1:26" s="2" customFormat="1" x14ac:dyDescent="0.25">
      <c r="A25" s="225"/>
      <c r="B25" s="14">
        <v>9</v>
      </c>
      <c r="C25" s="72">
        <f>[1]Variables!B31</f>
        <v>75555</v>
      </c>
      <c r="D25" s="73">
        <f t="shared" si="24"/>
        <v>26417.83216783217</v>
      </c>
      <c r="E25" s="74">
        <f>[1]Variables!D31</f>
        <v>6533</v>
      </c>
      <c r="F25" s="75">
        <f>[1]Variables!F31</f>
        <v>1585</v>
      </c>
      <c r="G25" s="83">
        <f>[1]Variables!J31</f>
        <v>1349</v>
      </c>
      <c r="H25" s="225"/>
      <c r="I25" s="14">
        <v>9</v>
      </c>
      <c r="J25" s="25">
        <f t="shared" si="20"/>
        <v>34535.832167832166</v>
      </c>
      <c r="K25" s="6">
        <f t="shared" si="25"/>
        <v>6.5695170018156713E-3</v>
      </c>
      <c r="L25" s="26">
        <f t="shared" si="21"/>
        <v>683081.40878637775</v>
      </c>
      <c r="M25" s="25">
        <f t="shared" si="22"/>
        <v>1349</v>
      </c>
      <c r="N25" s="7">
        <f t="shared" si="26"/>
        <v>4.369273223707437E-3</v>
      </c>
      <c r="O25" s="26">
        <f t="shared" si="23"/>
        <v>-151435.24798945416</v>
      </c>
      <c r="P25" s="38">
        <f t="shared" si="27"/>
        <v>531646.16079692356</v>
      </c>
      <c r="Q25" s="33">
        <f t="shared" si="28"/>
        <v>7.6696388908697871E-3</v>
      </c>
      <c r="R25" s="225"/>
      <c r="S25" s="14">
        <v>9</v>
      </c>
      <c r="T25" s="37">
        <f t="shared" si="29"/>
        <v>531646.16079692356</v>
      </c>
      <c r="U25" s="58">
        <f t="shared" si="30"/>
        <v>68353.839203076437</v>
      </c>
      <c r="V25" s="58">
        <f t="shared" si="31"/>
        <v>0</v>
      </c>
      <c r="W25" s="59">
        <f t="shared" si="32"/>
        <v>0</v>
      </c>
      <c r="X25" s="67">
        <f t="shared" si="33"/>
        <v>68353.839203076437</v>
      </c>
      <c r="Y25" s="38">
        <f t="shared" si="34"/>
        <v>600000</v>
      </c>
      <c r="Z25" s="39">
        <f t="shared" si="35"/>
        <v>8.6557256947438887E-3</v>
      </c>
    </row>
    <row r="26" spans="1:26" s="2" customFormat="1" x14ac:dyDescent="0.25">
      <c r="A26" s="225"/>
      <c r="B26" s="14">
        <v>10</v>
      </c>
      <c r="C26" s="72">
        <f>[1]Variables!B32</f>
        <v>108803</v>
      </c>
      <c r="D26" s="73">
        <f t="shared" si="24"/>
        <v>38043.006993006995</v>
      </c>
      <c r="E26" s="74">
        <f>[1]Variables!D32</f>
        <v>10862</v>
      </c>
      <c r="F26" s="75">
        <f>[1]Variables!F32</f>
        <v>2649</v>
      </c>
      <c r="G26" s="83">
        <f>[1]Variables!J32</f>
        <v>2736</v>
      </c>
      <c r="H26" s="225"/>
      <c r="I26" s="14">
        <v>10</v>
      </c>
      <c r="J26" s="25">
        <f t="shared" si="20"/>
        <v>51554.006993006995</v>
      </c>
      <c r="K26" s="6">
        <f t="shared" si="25"/>
        <v>9.8067689177545273E-3</v>
      </c>
      <c r="L26" s="26">
        <f t="shared" si="21"/>
        <v>1019682.5011840012</v>
      </c>
      <c r="M26" s="25">
        <f t="shared" si="22"/>
        <v>2736</v>
      </c>
      <c r="N26" s="7">
        <f t="shared" si="26"/>
        <v>8.8616245663925477E-3</v>
      </c>
      <c r="O26" s="26">
        <f t="shared" si="23"/>
        <v>-307136.27761241404</v>
      </c>
      <c r="P26" s="38">
        <f t="shared" si="27"/>
        <v>712546.22357158712</v>
      </c>
      <c r="Q26" s="33">
        <f t="shared" si="28"/>
        <v>1.0279341093435517E-2</v>
      </c>
      <c r="R26" s="225"/>
      <c r="S26" s="14">
        <v>10</v>
      </c>
      <c r="T26" s="37">
        <f t="shared" si="29"/>
        <v>712546.22357158712</v>
      </c>
      <c r="U26" s="58">
        <f t="shared" si="30"/>
        <v>0</v>
      </c>
      <c r="V26" s="58">
        <f t="shared" si="31"/>
        <v>112546.22357158712</v>
      </c>
      <c r="W26" s="59">
        <f t="shared" si="32"/>
        <v>2.0474330438553004E-3</v>
      </c>
      <c r="X26" s="67">
        <f t="shared" si="33"/>
        <v>-2561.6461353818977</v>
      </c>
      <c r="Y26" s="38">
        <f t="shared" si="34"/>
        <v>709984.57743620523</v>
      </c>
      <c r="Z26" s="39">
        <f t="shared" si="35"/>
        <v>1.0242386249644072E-2</v>
      </c>
    </row>
    <row r="27" spans="1:26" s="2" customFormat="1" x14ac:dyDescent="0.25">
      <c r="A27" s="225"/>
      <c r="B27" s="14">
        <v>11</v>
      </c>
      <c r="C27" s="72">
        <f>[1]Variables!B33</f>
        <v>152972</v>
      </c>
      <c r="D27" s="73">
        <f t="shared" si="24"/>
        <v>53486.71328671329</v>
      </c>
      <c r="E27" s="74">
        <f>[1]Variables!D33</f>
        <v>9071</v>
      </c>
      <c r="F27" s="75">
        <f>[1]Variables!F33</f>
        <v>3332</v>
      </c>
      <c r="G27" s="83">
        <f>[1]Variables!J33</f>
        <v>2558</v>
      </c>
      <c r="H27" s="225"/>
      <c r="I27" s="14">
        <v>11</v>
      </c>
      <c r="J27" s="25">
        <f t="shared" si="20"/>
        <v>65889.71328671329</v>
      </c>
      <c r="K27" s="6">
        <f t="shared" si="25"/>
        <v>1.2533753047508917E-2</v>
      </c>
      <c r="L27" s="26">
        <f t="shared" si="21"/>
        <v>1303227.2671958555</v>
      </c>
      <c r="M27" s="25">
        <f t="shared" si="22"/>
        <v>2558</v>
      </c>
      <c r="N27" s="7">
        <f t="shared" si="26"/>
        <v>8.2851007459181798E-3</v>
      </c>
      <c r="O27" s="26">
        <f t="shared" si="23"/>
        <v>-287154.45838178188</v>
      </c>
      <c r="P27" s="38">
        <f t="shared" si="27"/>
        <v>1016072.8088140737</v>
      </c>
      <c r="Q27" s="33">
        <f t="shared" si="28"/>
        <v>1.4658079198304287E-2</v>
      </c>
      <c r="R27" s="225"/>
      <c r="S27" s="14">
        <v>11</v>
      </c>
      <c r="T27" s="37">
        <f t="shared" si="29"/>
        <v>1016072.8088140737</v>
      </c>
      <c r="U27" s="58">
        <f t="shared" si="30"/>
        <v>0</v>
      </c>
      <c r="V27" s="58">
        <f t="shared" si="31"/>
        <v>416072.80881407368</v>
      </c>
      <c r="W27" s="59">
        <f t="shared" si="32"/>
        <v>7.5691674974217903E-3</v>
      </c>
      <c r="X27" s="67">
        <f t="shared" si="33"/>
        <v>-9470.1649590056768</v>
      </c>
      <c r="Y27" s="38">
        <f t="shared" si="34"/>
        <v>1006602.643855068</v>
      </c>
      <c r="Z27" s="39">
        <f t="shared" si="35"/>
        <v>1.4521460614689072E-2</v>
      </c>
    </row>
    <row r="28" spans="1:26" s="2" customFormat="1" x14ac:dyDescent="0.25">
      <c r="A28" s="225"/>
      <c r="B28" s="14">
        <v>12</v>
      </c>
      <c r="C28" s="72">
        <f>[1]Variables!B34</f>
        <v>64820</v>
      </c>
      <c r="D28" s="73">
        <f t="shared" si="24"/>
        <v>22664.335664335664</v>
      </c>
      <c r="E28" s="74">
        <f>[1]Variables!D34</f>
        <v>5220</v>
      </c>
      <c r="F28" s="75">
        <f>[1]Variables!F34</f>
        <v>1110</v>
      </c>
      <c r="G28" s="83">
        <f>[1]Variables!J34</f>
        <v>1346</v>
      </c>
      <c r="H28" s="225"/>
      <c r="I28" s="14">
        <v>12</v>
      </c>
      <c r="J28" s="25">
        <f t="shared" si="20"/>
        <v>28994.335664335664</v>
      </c>
      <c r="K28" s="6">
        <f t="shared" si="25"/>
        <v>5.5153957251570717E-3</v>
      </c>
      <c r="L28" s="26">
        <f t="shared" si="21"/>
        <v>573476.60123467422</v>
      </c>
      <c r="M28" s="25">
        <f t="shared" si="22"/>
        <v>1346</v>
      </c>
      <c r="N28" s="7">
        <f t="shared" si="26"/>
        <v>4.3595565301039361E-3</v>
      </c>
      <c r="O28" s="26">
        <f t="shared" si="23"/>
        <v>-151098.47575523</v>
      </c>
      <c r="P28" s="38">
        <f t="shared" si="27"/>
        <v>422378.12547944422</v>
      </c>
      <c r="Q28" s="33">
        <f t="shared" si="28"/>
        <v>6.0933153226836395E-3</v>
      </c>
      <c r="R28" s="225"/>
      <c r="S28" s="14">
        <v>12</v>
      </c>
      <c r="T28" s="37">
        <f t="shared" si="29"/>
        <v>422378.12547944422</v>
      </c>
      <c r="U28" s="58">
        <f t="shared" si="30"/>
        <v>177621.87452055578</v>
      </c>
      <c r="V28" s="58">
        <f t="shared" si="31"/>
        <v>0</v>
      </c>
      <c r="W28" s="59">
        <f t="shared" si="32"/>
        <v>0</v>
      </c>
      <c r="X28" s="67">
        <f t="shared" si="33"/>
        <v>177621.87452055578</v>
      </c>
      <c r="Y28" s="38">
        <f t="shared" si="34"/>
        <v>600000</v>
      </c>
      <c r="Z28" s="39">
        <f t="shared" si="35"/>
        <v>8.6557256947438887E-3</v>
      </c>
    </row>
    <row r="29" spans="1:26" s="2" customFormat="1" x14ac:dyDescent="0.25">
      <c r="A29" s="225"/>
      <c r="B29" s="14">
        <v>13</v>
      </c>
      <c r="C29" s="72">
        <f>[1]Variables!B35</f>
        <v>12161</v>
      </c>
      <c r="D29" s="73">
        <f t="shared" si="24"/>
        <v>4252.0979020979021</v>
      </c>
      <c r="E29" s="74">
        <f>[1]Variables!D35</f>
        <v>1216</v>
      </c>
      <c r="F29" s="75">
        <f>[1]Variables!F35</f>
        <v>222</v>
      </c>
      <c r="G29" s="83">
        <f>[1]Variables!J35</f>
        <v>433</v>
      </c>
      <c r="H29" s="225"/>
      <c r="I29" s="14">
        <v>13</v>
      </c>
      <c r="J29" s="25">
        <f t="shared" si="20"/>
        <v>5690.0979020979021</v>
      </c>
      <c r="K29" s="6">
        <f t="shared" si="25"/>
        <v>1.0823887123428272E-3</v>
      </c>
      <c r="L29" s="26">
        <f t="shared" si="21"/>
        <v>112543.98249936319</v>
      </c>
      <c r="M29" s="25">
        <f t="shared" si="22"/>
        <v>433</v>
      </c>
      <c r="N29" s="7">
        <f t="shared" si="26"/>
        <v>1.4024427767719201E-3</v>
      </c>
      <c r="O29" s="26">
        <f t="shared" si="23"/>
        <v>-48607.459139683946</v>
      </c>
      <c r="P29" s="38">
        <f t="shared" si="27"/>
        <v>63936.523359679246</v>
      </c>
      <c r="Q29" s="33">
        <f t="shared" si="28"/>
        <v>9.2236168012828086E-4</v>
      </c>
      <c r="R29" s="225"/>
      <c r="S29" s="14">
        <v>13</v>
      </c>
      <c r="T29" s="37">
        <f t="shared" si="29"/>
        <v>63936.523359679246</v>
      </c>
      <c r="U29" s="58">
        <f t="shared" si="30"/>
        <v>536063.47664032073</v>
      </c>
      <c r="V29" s="58">
        <f t="shared" si="31"/>
        <v>0</v>
      </c>
      <c r="W29" s="59">
        <f t="shared" si="32"/>
        <v>0</v>
      </c>
      <c r="X29" s="67">
        <f t="shared" si="33"/>
        <v>536063.47664032073</v>
      </c>
      <c r="Y29" s="38">
        <f t="shared" si="34"/>
        <v>600000</v>
      </c>
      <c r="Z29" s="39">
        <f t="shared" si="35"/>
        <v>8.6557256947438887E-3</v>
      </c>
    </row>
    <row r="30" spans="1:26" s="2" customFormat="1" ht="13.5" thickBot="1" x14ac:dyDescent="0.3">
      <c r="A30" s="226"/>
      <c r="B30" s="15" t="s">
        <v>2</v>
      </c>
      <c r="C30" s="76">
        <f>SUM(C17:C29)</f>
        <v>1314069</v>
      </c>
      <c r="D30" s="77">
        <f t="shared" ref="D30:G30" si="36">SUM(D17:D29)</f>
        <v>459464.68531468534</v>
      </c>
      <c r="E30" s="77">
        <f t="shared" si="36"/>
        <v>122219</v>
      </c>
      <c r="F30" s="78">
        <f t="shared" si="36"/>
        <v>23087</v>
      </c>
      <c r="G30" s="84">
        <f t="shared" si="36"/>
        <v>29493</v>
      </c>
      <c r="H30" s="226"/>
      <c r="I30" s="15" t="s">
        <v>2</v>
      </c>
      <c r="J30" s="27">
        <f>SUM(J17:J29)</f>
        <v>604770.68531468522</v>
      </c>
      <c r="K30" s="19">
        <f t="shared" ref="K30:O30" si="37">SUM(K17:K29)</f>
        <v>0.1150414236456469</v>
      </c>
      <c r="L30" s="28">
        <f t="shared" si="37"/>
        <v>11961710.078677088</v>
      </c>
      <c r="M30" s="27">
        <f t="shared" si="37"/>
        <v>29493</v>
      </c>
      <c r="N30" s="19">
        <f t="shared" si="37"/>
        <v>9.5524814816014381E-2</v>
      </c>
      <c r="O30" s="28">
        <f t="shared" si="37"/>
        <v>-3310807.8346575028</v>
      </c>
      <c r="P30" s="42">
        <f>SUM(P17:P29)</f>
        <v>8650902.2440195866</v>
      </c>
      <c r="Q30" s="20">
        <f>P30/$P$31</f>
        <v>0.12479972806046316</v>
      </c>
      <c r="R30" s="226"/>
      <c r="S30" s="15" t="s">
        <v>2</v>
      </c>
      <c r="T30" s="40">
        <f t="shared" ref="T30:Y30" si="38">SUM(T17:T29)</f>
        <v>8650902.2440195866</v>
      </c>
      <c r="U30" s="62">
        <f t="shared" si="38"/>
        <v>1251150.1380080972</v>
      </c>
      <c r="V30" s="62">
        <f t="shared" si="38"/>
        <v>2102052.3820276828</v>
      </c>
      <c r="W30" s="63">
        <f t="shared" si="38"/>
        <v>3.8240390217453221E-2</v>
      </c>
      <c r="X30" s="41">
        <f t="shared" si="38"/>
        <v>1203305.6685100473</v>
      </c>
      <c r="Y30" s="42">
        <f t="shared" si="38"/>
        <v>9854207.9125296324</v>
      </c>
      <c r="Z30" s="43">
        <f>Y30/$Y$31</f>
        <v>0.14215886771638547</v>
      </c>
    </row>
    <row r="31" spans="1:26" s="2" customFormat="1" ht="13.5" thickBot="1" x14ac:dyDescent="0.3">
      <c r="B31" s="16" t="s">
        <v>0</v>
      </c>
      <c r="C31" s="79">
        <f>SUM(C16,C30)</f>
        <v>9642118</v>
      </c>
      <c r="D31" s="80">
        <f t="shared" ref="D31:G31" si="39">SUM(D16,D30)</f>
        <v>3371369.9300699299</v>
      </c>
      <c r="E31" s="80">
        <f t="shared" si="39"/>
        <v>1614679</v>
      </c>
      <c r="F31" s="81">
        <f t="shared" si="39"/>
        <v>270933</v>
      </c>
      <c r="G31" s="85">
        <f t="shared" si="39"/>
        <v>308747</v>
      </c>
      <c r="I31" s="16" t="s">
        <v>0</v>
      </c>
      <c r="J31" s="29">
        <f t="shared" ref="J31:P31" si="40">SUM(J3:J15)+SUM(J17:J29)</f>
        <v>5256981.9300699299</v>
      </c>
      <c r="K31" s="216">
        <f t="shared" si="40"/>
        <v>1</v>
      </c>
      <c r="L31" s="30">
        <f t="shared" si="40"/>
        <v>103977417.00000003</v>
      </c>
      <c r="M31" s="29">
        <f t="shared" si="40"/>
        <v>308747</v>
      </c>
      <c r="N31" s="17">
        <f t="shared" si="40"/>
        <v>1</v>
      </c>
      <c r="O31" s="30">
        <f t="shared" si="40"/>
        <v>-34659139</v>
      </c>
      <c r="P31" s="46">
        <f t="shared" si="40"/>
        <v>69318278</v>
      </c>
      <c r="Q31" s="18">
        <f>P31/$P$31</f>
        <v>1</v>
      </c>
      <c r="S31" s="16" t="s">
        <v>0</v>
      </c>
      <c r="T31" s="44">
        <f>SUM(T16,T30)</f>
        <v>69318278</v>
      </c>
      <c r="U31" s="64">
        <f>SUM(U17:U29)+SUM(U3:U15)</f>
        <v>1251150.1380080972</v>
      </c>
      <c r="V31" s="64">
        <f>SUM(V17:V29)+SUM(V3:V15)</f>
        <v>54969428.138008095</v>
      </c>
      <c r="W31" s="65">
        <f>SUM(W17:W29)+SUM(W3:W15)</f>
        <v>0.99999999999999978</v>
      </c>
      <c r="X31" s="45">
        <f>SUM(X17:X29)+SUM(X3:X15)</f>
        <v>0</v>
      </c>
      <c r="Y31" s="46">
        <f>SUM(Y17:Y29)+SUM(Y3:Y15)</f>
        <v>69318278</v>
      </c>
      <c r="Z31" s="47">
        <f>Y31/$Y$31</f>
        <v>1</v>
      </c>
    </row>
    <row r="32" spans="1:26" x14ac:dyDescent="0.2">
      <c r="B32" s="231"/>
      <c r="C32" s="231"/>
      <c r="D32" s="231"/>
      <c r="E32" s="231"/>
      <c r="F32" s="231"/>
      <c r="G32" s="231"/>
      <c r="I32" s="231"/>
      <c r="J32" s="231"/>
      <c r="K32" s="231"/>
      <c r="L32" s="231"/>
      <c r="M32" s="231"/>
      <c r="N32" s="231"/>
      <c r="O32" s="231"/>
      <c r="P32" s="231"/>
      <c r="Q32" s="231"/>
      <c r="R32" s="217"/>
      <c r="S32" s="231"/>
      <c r="T32" s="231"/>
      <c r="U32" s="231"/>
      <c r="V32" s="231"/>
      <c r="W32" s="231"/>
      <c r="X32" s="231"/>
      <c r="Y32" s="231"/>
      <c r="Z32" s="231"/>
    </row>
    <row r="33" spans="1:26" ht="15" customHeight="1" x14ac:dyDescent="0.2">
      <c r="A33" s="228" t="s">
        <v>7</v>
      </c>
      <c r="B33" s="228"/>
      <c r="C33" s="228"/>
      <c r="D33" s="228"/>
      <c r="E33" s="228"/>
      <c r="F33" s="228"/>
      <c r="G33" s="86">
        <v>2.86</v>
      </c>
      <c r="H33" s="229" t="s">
        <v>65</v>
      </c>
      <c r="I33" s="229"/>
      <c r="J33" s="229"/>
      <c r="K33" s="229"/>
      <c r="L33" s="229"/>
      <c r="M33" s="229"/>
      <c r="N33" s="229"/>
      <c r="O33" s="229"/>
      <c r="P33" s="229"/>
      <c r="Q33" s="218">
        <v>69318278</v>
      </c>
      <c r="R33" s="4"/>
      <c r="S33" s="230" t="s">
        <v>15</v>
      </c>
      <c r="T33" s="230"/>
      <c r="U33" s="230"/>
      <c r="V33" s="230"/>
      <c r="W33" s="230"/>
      <c r="X33" s="230"/>
      <c r="Y33" s="230"/>
      <c r="Z33" s="5">
        <v>600000</v>
      </c>
    </row>
    <row r="34" spans="1:26" ht="12.75" customHeight="1" x14ac:dyDescent="0.2">
      <c r="H34" s="228" t="s">
        <v>9</v>
      </c>
      <c r="I34" s="228"/>
      <c r="J34" s="228"/>
      <c r="K34" s="228"/>
      <c r="L34" s="228"/>
      <c r="M34" s="228"/>
      <c r="N34" s="228"/>
      <c r="O34" s="228"/>
      <c r="P34" s="228"/>
      <c r="Q34" s="3">
        <v>1.5</v>
      </c>
      <c r="R34" s="3"/>
    </row>
    <row r="35" spans="1:26" ht="12.75" customHeight="1" x14ac:dyDescent="0.2">
      <c r="H35" s="228" t="s">
        <v>10</v>
      </c>
      <c r="I35" s="228"/>
      <c r="J35" s="228"/>
      <c r="K35" s="228"/>
      <c r="L35" s="228"/>
      <c r="M35" s="228"/>
      <c r="N35" s="228"/>
      <c r="O35" s="228"/>
      <c r="P35" s="228"/>
      <c r="Q35" s="3">
        <v>-0.5</v>
      </c>
      <c r="R35" s="3"/>
    </row>
    <row r="36" spans="1:26" x14ac:dyDescent="0.2">
      <c r="R36" s="3"/>
    </row>
  </sheetData>
  <sheetProtection sheet="1" objects="1" scenarios="1"/>
  <mergeCells count="17">
    <mergeCell ref="S32:Z32"/>
    <mergeCell ref="A1:G1"/>
    <mergeCell ref="H1:Q1"/>
    <mergeCell ref="R1:Z1"/>
    <mergeCell ref="A3:A16"/>
    <mergeCell ref="H3:H16"/>
    <mergeCell ref="R3:R16"/>
    <mergeCell ref="A17:A30"/>
    <mergeCell ref="H17:H30"/>
    <mergeCell ref="R17:R30"/>
    <mergeCell ref="B32:G32"/>
    <mergeCell ref="I32:Q32"/>
    <mergeCell ref="A33:F33"/>
    <mergeCell ref="H33:P33"/>
    <mergeCell ref="S33:Y33"/>
    <mergeCell ref="H34:P34"/>
    <mergeCell ref="H35:P35"/>
  </mergeCells>
  <pageMargins left="0.25" right="0.25" top="0.75" bottom="0.75" header="0.3" footer="0.3"/>
  <pageSetup orientation="landscape" r:id="rId1"/>
  <headerFooter>
    <oddHeader>&amp;CTexas Department of Housing and Community Affairs 
Example 2021 HTC Regional Allocation Formula</oddHeader>
    <oddFooter>&amp;L04/01/2019</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67"/>
  <sheetViews>
    <sheetView tabSelected="1" zoomScale="60" zoomScaleNormal="60" workbookViewId="0">
      <selection activeCell="C6" sqref="C6:D6"/>
    </sheetView>
  </sheetViews>
  <sheetFormatPr defaultColWidth="9.140625" defaultRowHeight="15.75" x14ac:dyDescent="0.25"/>
  <cols>
    <col min="1" max="1" width="2.42578125" style="88" customWidth="1"/>
    <col min="2" max="2" width="8" style="88" customWidth="1"/>
    <col min="3" max="3" width="3.85546875" style="88" customWidth="1"/>
    <col min="4" max="4" width="26.42578125" style="88" customWidth="1"/>
    <col min="5" max="5" width="18.5703125" style="88" customWidth="1"/>
    <col min="6" max="6" width="16.42578125" style="88" customWidth="1"/>
    <col min="7" max="7" width="18.85546875" style="88" customWidth="1"/>
    <col min="8" max="8" width="16.140625" style="88" customWidth="1"/>
    <col min="9" max="9" width="16.42578125" style="88" customWidth="1"/>
    <col min="10" max="10" width="20.85546875" style="88" customWidth="1"/>
    <col min="11" max="11" width="13.42578125" style="88" customWidth="1"/>
    <col min="12" max="12" width="2.5703125" style="88" customWidth="1"/>
    <col min="13" max="13" width="22.42578125" style="88" customWidth="1"/>
    <col min="14" max="14" width="17" style="88" customWidth="1"/>
    <col min="15" max="15" width="19" style="88" customWidth="1"/>
    <col min="16" max="16" width="31.42578125" style="103" hidden="1" customWidth="1"/>
    <col min="17" max="17" width="18" style="103" hidden="1" customWidth="1"/>
    <col min="18" max="18" width="8.85546875" style="103"/>
    <col min="19" max="19" width="8.85546875" style="103" customWidth="1"/>
    <col min="20" max="21" width="8.85546875" style="103"/>
    <col min="22" max="22" width="24" style="103" customWidth="1"/>
    <col min="23" max="24" width="15.42578125" style="103" customWidth="1"/>
    <col min="25" max="25" width="16.42578125" style="103" customWidth="1"/>
    <col min="26" max="26" width="19.5703125" style="103" customWidth="1"/>
    <col min="27" max="29" width="8.85546875" style="103"/>
    <col min="30" max="30" width="20.5703125" style="103" customWidth="1"/>
    <col min="31" max="33" width="15.5703125" style="103" customWidth="1"/>
    <col min="34" max="34" width="15.5703125" style="88" customWidth="1"/>
    <col min="35" max="16384" width="9.140625" style="88"/>
  </cols>
  <sheetData>
    <row r="1" spans="1:34" ht="6" customHeight="1" x14ac:dyDescent="0.25"/>
    <row r="2" spans="1:34" ht="32.25" customHeight="1" thickBot="1" x14ac:dyDescent="0.3">
      <c r="A2" s="232" t="s">
        <v>69</v>
      </c>
      <c r="B2" s="232"/>
      <c r="C2" s="232"/>
      <c r="D2" s="232"/>
      <c r="E2" s="232"/>
      <c r="F2" s="232"/>
      <c r="G2" s="232"/>
      <c r="H2" s="232"/>
      <c r="I2" s="232"/>
      <c r="J2" s="232"/>
      <c r="K2" s="232"/>
      <c r="L2" s="232"/>
      <c r="M2" s="232"/>
      <c r="N2" s="232"/>
      <c r="O2" s="232"/>
    </row>
    <row r="3" spans="1:34" ht="6.75" customHeight="1" thickBot="1" x14ac:dyDescent="0.3">
      <c r="A3" s="89"/>
      <c r="B3" s="89"/>
      <c r="C3" s="89"/>
      <c r="D3" s="89"/>
      <c r="E3" s="89"/>
      <c r="F3" s="89"/>
      <c r="G3" s="89"/>
      <c r="H3" s="89"/>
      <c r="I3" s="89"/>
      <c r="J3" s="89"/>
      <c r="K3" s="89"/>
      <c r="L3" s="89"/>
    </row>
    <row r="4" spans="1:34" ht="15" customHeight="1" x14ac:dyDescent="0.25">
      <c r="A4" s="104"/>
      <c r="B4" s="105"/>
      <c r="C4" s="234" t="s">
        <v>76</v>
      </c>
      <c r="D4" s="235"/>
      <c r="E4" s="235"/>
      <c r="F4" s="235"/>
      <c r="G4" s="235"/>
      <c r="H4" s="235"/>
      <c r="I4" s="235"/>
      <c r="J4" s="235"/>
      <c r="K4" s="236"/>
      <c r="L4" s="89"/>
      <c r="M4" s="240" t="s">
        <v>31</v>
      </c>
      <c r="N4" s="242" t="s">
        <v>32</v>
      </c>
      <c r="O4" s="243"/>
    </row>
    <row r="5" spans="1:34" ht="16.5" thickBot="1" x14ac:dyDescent="0.3">
      <c r="A5" s="106"/>
      <c r="B5" s="107"/>
      <c r="C5" s="237"/>
      <c r="D5" s="238"/>
      <c r="E5" s="238"/>
      <c r="F5" s="238"/>
      <c r="G5" s="238"/>
      <c r="H5" s="238"/>
      <c r="I5" s="238"/>
      <c r="J5" s="238"/>
      <c r="K5" s="239"/>
      <c r="L5" s="89"/>
      <c r="M5" s="241"/>
      <c r="N5" s="244"/>
      <c r="O5" s="245"/>
    </row>
    <row r="6" spans="1:34" ht="16.5" thickBot="1" x14ac:dyDescent="0.3">
      <c r="A6" s="105"/>
      <c r="B6" s="108"/>
      <c r="C6" s="249">
        <v>44531</v>
      </c>
      <c r="D6" s="250"/>
      <c r="E6" s="109"/>
      <c r="F6" s="105"/>
      <c r="G6" s="105"/>
      <c r="H6" s="105"/>
      <c r="I6" s="105"/>
      <c r="J6" s="105"/>
      <c r="K6" s="105"/>
      <c r="L6" s="110"/>
      <c r="M6" s="105"/>
      <c r="N6" s="105"/>
      <c r="O6" s="105"/>
      <c r="AH6" s="90"/>
    </row>
    <row r="7" spans="1:34" ht="63.75" thickBot="1" x14ac:dyDescent="0.3">
      <c r="A7" s="111"/>
      <c r="B7" s="112"/>
      <c r="C7" s="113" t="s">
        <v>1</v>
      </c>
      <c r="D7" s="114" t="s">
        <v>33</v>
      </c>
      <c r="E7" s="114" t="s">
        <v>34</v>
      </c>
      <c r="F7" s="114" t="s">
        <v>35</v>
      </c>
      <c r="G7" s="114" t="s">
        <v>36</v>
      </c>
      <c r="H7" s="114" t="s">
        <v>37</v>
      </c>
      <c r="I7" s="114" t="s">
        <v>26</v>
      </c>
      <c r="J7" s="115" t="s">
        <v>38</v>
      </c>
      <c r="K7" s="116" t="s">
        <v>39</v>
      </c>
      <c r="L7" s="89"/>
      <c r="M7" s="117" t="s">
        <v>40</v>
      </c>
      <c r="N7" s="91" t="s">
        <v>58</v>
      </c>
      <c r="O7" s="91" t="s">
        <v>41</v>
      </c>
    </row>
    <row r="8" spans="1:34" ht="15" customHeight="1" x14ac:dyDescent="0.25">
      <c r="A8" s="118"/>
      <c r="B8" s="246" t="s">
        <v>42</v>
      </c>
      <c r="C8" s="119">
        <v>1</v>
      </c>
      <c r="D8" s="120" t="s">
        <v>43</v>
      </c>
      <c r="E8" s="121">
        <v>1240590.9802046688</v>
      </c>
      <c r="F8" s="122">
        <f>IF(E8&lt;600000,600000-E8,0)</f>
        <v>0</v>
      </c>
      <c r="G8" s="122">
        <f>IF(E8&gt;600000,E8-600000,0)</f>
        <v>640590.98020466883</v>
      </c>
      <c r="H8" s="123">
        <f>IF(E8&gt;600000,(E8-600000)/$G$39,0)</f>
        <v>1.2617545927350577E-2</v>
      </c>
      <c r="I8" s="122">
        <f>IF(E8&lt;600000,F8,-H8*$F$39)</f>
        <v>-18706.494102275898</v>
      </c>
      <c r="J8" s="124">
        <f>E8+I8</f>
        <v>1221884.4861023929</v>
      </c>
      <c r="K8" s="125">
        <f>J8/$E$39</f>
        <v>1.8830879260942783E-2</v>
      </c>
      <c r="L8" s="89"/>
      <c r="M8" s="219">
        <v>1832826</v>
      </c>
      <c r="N8" s="93" t="s">
        <v>44</v>
      </c>
      <c r="O8" s="94" t="s">
        <v>44</v>
      </c>
      <c r="P8" s="126">
        <f>J8*150%</f>
        <v>1832826.7291535893</v>
      </c>
      <c r="S8"/>
    </row>
    <row r="9" spans="1:34" x14ac:dyDescent="0.25">
      <c r="A9" s="118"/>
      <c r="B9" s="247"/>
      <c r="C9" s="127">
        <v>2</v>
      </c>
      <c r="D9" s="128" t="s">
        <v>45</v>
      </c>
      <c r="E9" s="129">
        <v>594718.24705385894</v>
      </c>
      <c r="F9" s="130">
        <f t="shared" ref="F9:F20" si="0">IF(E9&lt;600000,600000-E9,0)</f>
        <v>5281.7529461410595</v>
      </c>
      <c r="G9" s="130">
        <f t="shared" ref="G9:G19" si="1">IF(E9&gt;600000,E9-600000,0)</f>
        <v>0</v>
      </c>
      <c r="H9" s="131">
        <f t="shared" ref="H9:H20" si="2">IF(E9&gt;600000,(E9-600000)/$G$39,0)</f>
        <v>0</v>
      </c>
      <c r="I9" s="130">
        <f t="shared" ref="I9:I20" si="3">IF(E9&lt;600000,F9,-H9*$F$39)</f>
        <v>5281.7529461410595</v>
      </c>
      <c r="J9" s="132">
        <f t="shared" ref="J9:J34" si="4">E9+I9</f>
        <v>600000</v>
      </c>
      <c r="K9" s="133">
        <f t="shared" ref="K9:K20" si="5">J9/$E$39</f>
        <v>9.246804984492504E-3</v>
      </c>
      <c r="L9" s="89"/>
      <c r="M9" s="219">
        <v>900000</v>
      </c>
      <c r="N9" s="96" t="s">
        <v>44</v>
      </c>
      <c r="O9" s="97" t="s">
        <v>44</v>
      </c>
      <c r="P9" s="126">
        <f t="shared" ref="P9:P34" si="6">J9*150%</f>
        <v>900000</v>
      </c>
      <c r="S9"/>
    </row>
    <row r="10" spans="1:34" x14ac:dyDescent="0.25">
      <c r="A10" s="118"/>
      <c r="B10" s="247"/>
      <c r="C10" s="127">
        <v>3</v>
      </c>
      <c r="D10" s="128" t="s">
        <v>59</v>
      </c>
      <c r="E10" s="129">
        <v>15545372.976819044</v>
      </c>
      <c r="F10" s="130">
        <f t="shared" si="0"/>
        <v>0</v>
      </c>
      <c r="G10" s="130">
        <f t="shared" si="1"/>
        <v>14945372.976819044</v>
      </c>
      <c r="H10" s="131">
        <f t="shared" si="2"/>
        <v>0.29437493777409907</v>
      </c>
      <c r="I10" s="130">
        <f t="shared" si="3"/>
        <v>-436433.76208302943</v>
      </c>
      <c r="J10" s="132">
        <f t="shared" si="4"/>
        <v>15108939.214736015</v>
      </c>
      <c r="K10" s="133">
        <f t="shared" si="5"/>
        <v>0.23284902406869207</v>
      </c>
      <c r="L10" s="89"/>
      <c r="M10" s="95">
        <v>2000000</v>
      </c>
      <c r="N10" s="96">
        <v>0.40760000000000002</v>
      </c>
      <c r="O10" s="97">
        <f>J10*N10</f>
        <v>6158403.6239264002</v>
      </c>
      <c r="P10" s="126">
        <f t="shared" si="6"/>
        <v>22663408.822104022</v>
      </c>
      <c r="S10"/>
      <c r="V10" s="126"/>
    </row>
    <row r="11" spans="1:34" x14ac:dyDescent="0.25">
      <c r="A11" s="118"/>
      <c r="B11" s="247"/>
      <c r="C11" s="127">
        <v>4</v>
      </c>
      <c r="D11" s="128" t="s">
        <v>46</v>
      </c>
      <c r="E11" s="129">
        <v>1342237.1866007855</v>
      </c>
      <c r="F11" s="130">
        <f t="shared" si="0"/>
        <v>0</v>
      </c>
      <c r="G11" s="130">
        <f t="shared" si="1"/>
        <v>742237.18660078547</v>
      </c>
      <c r="H11" s="131">
        <f t="shared" si="2"/>
        <v>1.4619643548416349E-2</v>
      </c>
      <c r="I11" s="130">
        <f t="shared" si="3"/>
        <v>-21674.75968706475</v>
      </c>
      <c r="J11" s="132">
        <f t="shared" si="4"/>
        <v>1320562.4269137208</v>
      </c>
      <c r="K11" s="133">
        <f t="shared" si="5"/>
        <v>2.0351638719198855E-2</v>
      </c>
      <c r="L11" s="89"/>
      <c r="M11" s="219">
        <v>1980843.64</v>
      </c>
      <c r="N11" s="96" t="s">
        <v>44</v>
      </c>
      <c r="O11" s="97" t="s">
        <v>44</v>
      </c>
      <c r="P11" s="126">
        <f t="shared" si="6"/>
        <v>1980843.6403705813</v>
      </c>
      <c r="S11"/>
    </row>
    <row r="12" spans="1:34" x14ac:dyDescent="0.25">
      <c r="A12" s="118"/>
      <c r="B12" s="247"/>
      <c r="C12" s="127">
        <v>5</v>
      </c>
      <c r="D12" s="128" t="s">
        <v>47</v>
      </c>
      <c r="E12" s="129">
        <v>926282.14994641999</v>
      </c>
      <c r="F12" s="130">
        <f t="shared" si="0"/>
        <v>0</v>
      </c>
      <c r="G12" s="130">
        <f t="shared" si="1"/>
        <v>326282.14994641999</v>
      </c>
      <c r="H12" s="131">
        <f t="shared" si="2"/>
        <v>6.4266905708043201E-3</v>
      </c>
      <c r="I12" s="130">
        <f t="shared" si="3"/>
        <v>-9528.069083489916</v>
      </c>
      <c r="J12" s="132">
        <f t="shared" si="4"/>
        <v>916754.08086293004</v>
      </c>
      <c r="K12" s="133">
        <f t="shared" si="5"/>
        <v>1.412841034079531E-2</v>
      </c>
      <c r="L12" s="89"/>
      <c r="M12" s="219">
        <v>1375131.1212943951</v>
      </c>
      <c r="N12" s="96" t="s">
        <v>44</v>
      </c>
      <c r="O12" s="97" t="s">
        <v>44</v>
      </c>
      <c r="P12" s="126">
        <f t="shared" si="6"/>
        <v>1375131.1212943951</v>
      </c>
      <c r="S12"/>
    </row>
    <row r="13" spans="1:34" x14ac:dyDescent="0.25">
      <c r="A13" s="118"/>
      <c r="B13" s="247"/>
      <c r="C13" s="127">
        <v>6</v>
      </c>
      <c r="D13" s="128" t="s">
        <v>48</v>
      </c>
      <c r="E13" s="129">
        <v>14851040.110893596</v>
      </c>
      <c r="F13" s="130">
        <f t="shared" si="0"/>
        <v>0</v>
      </c>
      <c r="G13" s="130">
        <f t="shared" si="1"/>
        <v>14251040.110893596</v>
      </c>
      <c r="H13" s="131">
        <f t="shared" si="2"/>
        <v>0.28069885257245569</v>
      </c>
      <c r="I13" s="130">
        <f t="shared" si="3"/>
        <v>-416157.90110025241</v>
      </c>
      <c r="J13" s="132">
        <f t="shared" si="4"/>
        <v>14434882.209793344</v>
      </c>
      <c r="K13" s="133">
        <f t="shared" si="5"/>
        <v>0.22246090128013213</v>
      </c>
      <c r="L13" s="89"/>
      <c r="M13" s="95">
        <v>2000000</v>
      </c>
      <c r="N13" s="96">
        <v>0.41920000000000002</v>
      </c>
      <c r="O13" s="97">
        <f>J13*N13</f>
        <v>6051102.6223453702</v>
      </c>
      <c r="P13" s="126">
        <f t="shared" si="6"/>
        <v>21652323.314690016</v>
      </c>
      <c r="S13"/>
      <c r="V13" s="126"/>
    </row>
    <row r="14" spans="1:34" x14ac:dyDescent="0.25">
      <c r="A14" s="118"/>
      <c r="B14" s="247"/>
      <c r="C14" s="127">
        <v>7</v>
      </c>
      <c r="D14" s="128" t="s">
        <v>60</v>
      </c>
      <c r="E14" s="129">
        <v>4189879.912254062</v>
      </c>
      <c r="F14" s="130">
        <f t="shared" si="0"/>
        <v>0</v>
      </c>
      <c r="G14" s="130">
        <f t="shared" si="1"/>
        <v>3589879.912254062</v>
      </c>
      <c r="H14" s="131">
        <f t="shared" si="2"/>
        <v>7.0708886116484168E-2</v>
      </c>
      <c r="I14" s="130">
        <f t="shared" si="3"/>
        <v>-104831.42829298596</v>
      </c>
      <c r="J14" s="132">
        <f t="shared" si="4"/>
        <v>4085048.483961076</v>
      </c>
      <c r="K14" s="133">
        <f t="shared" si="5"/>
        <v>6.2956077805641372E-2</v>
      </c>
      <c r="L14" s="89"/>
      <c r="M14" s="95">
        <v>2000000</v>
      </c>
      <c r="N14" s="96">
        <v>0.36859999999999998</v>
      </c>
      <c r="O14" s="97">
        <f>J14*N14</f>
        <v>1505748.8711880525</v>
      </c>
      <c r="P14" s="126">
        <f t="shared" si="6"/>
        <v>6127572.7259416142</v>
      </c>
      <c r="S14"/>
      <c r="V14" s="126"/>
    </row>
    <row r="15" spans="1:34" x14ac:dyDescent="0.25">
      <c r="A15" s="118"/>
      <c r="B15" s="247"/>
      <c r="C15" s="127">
        <v>8</v>
      </c>
      <c r="D15" s="128" t="s">
        <v>49</v>
      </c>
      <c r="E15" s="129">
        <v>2344999.3987679761</v>
      </c>
      <c r="F15" s="130">
        <f t="shared" si="0"/>
        <v>0</v>
      </c>
      <c r="G15" s="130">
        <f t="shared" si="1"/>
        <v>1744999.3987679761</v>
      </c>
      <c r="H15" s="131">
        <f t="shared" si="2"/>
        <v>3.4370777512539211E-2</v>
      </c>
      <c r="I15" s="130">
        <f t="shared" si="3"/>
        <v>-50957.3533974811</v>
      </c>
      <c r="J15" s="132">
        <f t="shared" si="4"/>
        <v>2294042.0453704949</v>
      </c>
      <c r="K15" s="133">
        <f t="shared" si="5"/>
        <v>3.5354265699612121E-2</v>
      </c>
      <c r="L15" s="89"/>
      <c r="M15" s="95">
        <v>2000000</v>
      </c>
      <c r="N15" s="96" t="s">
        <v>44</v>
      </c>
      <c r="O15" s="97" t="s">
        <v>44</v>
      </c>
      <c r="P15" s="126">
        <f t="shared" si="6"/>
        <v>3441063.0680557424</v>
      </c>
      <c r="S15"/>
    </row>
    <row r="16" spans="1:34" x14ac:dyDescent="0.25">
      <c r="A16" s="118"/>
      <c r="B16" s="247"/>
      <c r="C16" s="127">
        <v>9</v>
      </c>
      <c r="D16" s="128" t="s">
        <v>61</v>
      </c>
      <c r="E16" s="129">
        <v>5428295.9434505682</v>
      </c>
      <c r="F16" s="130">
        <f t="shared" si="0"/>
        <v>0</v>
      </c>
      <c r="G16" s="130">
        <f t="shared" si="1"/>
        <v>4828295.9434505682</v>
      </c>
      <c r="H16" s="131">
        <f t="shared" si="2"/>
        <v>9.510162912044702E-2</v>
      </c>
      <c r="I16" s="130">
        <f t="shared" si="3"/>
        <v>-140995.56875019267</v>
      </c>
      <c r="J16" s="132">
        <f t="shared" si="4"/>
        <v>5287300.3747003758</v>
      </c>
      <c r="K16" s="133">
        <f t="shared" si="5"/>
        <v>8.1484392432147543E-2</v>
      </c>
      <c r="L16" s="89"/>
      <c r="M16" s="95">
        <v>2000000</v>
      </c>
      <c r="N16" s="96">
        <v>0.43169999999999997</v>
      </c>
      <c r="O16" s="97">
        <f>J16*N16</f>
        <v>2282527.571758152</v>
      </c>
      <c r="P16" s="126">
        <f t="shared" si="6"/>
        <v>7930950.5620505642</v>
      </c>
      <c r="S16"/>
      <c r="V16" s="126"/>
    </row>
    <row r="17" spans="1:19" x14ac:dyDescent="0.25">
      <c r="A17" s="118"/>
      <c r="B17" s="247"/>
      <c r="C17" s="127">
        <v>10</v>
      </c>
      <c r="D17" s="128" t="s">
        <v>62</v>
      </c>
      <c r="E17" s="129">
        <v>1262789.3859441348</v>
      </c>
      <c r="F17" s="130">
        <f t="shared" si="0"/>
        <v>0</v>
      </c>
      <c r="G17" s="130">
        <f t="shared" si="1"/>
        <v>662789.38594413479</v>
      </c>
      <c r="H17" s="131">
        <f t="shared" si="2"/>
        <v>1.3054781874447719E-2</v>
      </c>
      <c r="I17" s="130">
        <f t="shared" si="3"/>
        <v>-19354.730432285687</v>
      </c>
      <c r="J17" s="132">
        <f t="shared" si="4"/>
        <v>1243434.6555118491</v>
      </c>
      <c r="K17" s="133">
        <f t="shared" si="5"/>
        <v>1.9162996284129478E-2</v>
      </c>
      <c r="L17" s="89"/>
      <c r="M17" s="219">
        <v>1865151.98</v>
      </c>
      <c r="N17" s="96" t="s">
        <v>44</v>
      </c>
      <c r="O17" s="97" t="s">
        <v>44</v>
      </c>
      <c r="P17" s="126">
        <f t="shared" si="6"/>
        <v>1865151.9832677736</v>
      </c>
      <c r="S17"/>
    </row>
    <row r="18" spans="1:19" x14ac:dyDescent="0.25">
      <c r="A18" s="118"/>
      <c r="B18" s="247"/>
      <c r="C18" s="127">
        <v>11</v>
      </c>
      <c r="D18" s="128" t="s">
        <v>50</v>
      </c>
      <c r="E18" s="129">
        <v>5937487.2070570569</v>
      </c>
      <c r="F18" s="130">
        <f t="shared" si="0"/>
        <v>0</v>
      </c>
      <c r="G18" s="130">
        <f t="shared" si="1"/>
        <v>5337487.2070570569</v>
      </c>
      <c r="H18" s="131">
        <f t="shared" si="2"/>
        <v>0.10513103064637522</v>
      </c>
      <c r="I18" s="130">
        <f t="shared" si="3"/>
        <v>-155864.93729256879</v>
      </c>
      <c r="J18" s="132">
        <f t="shared" si="4"/>
        <v>5781622.2697644886</v>
      </c>
      <c r="K18" s="133">
        <f t="shared" si="5"/>
        <v>8.9102556037518571E-2</v>
      </c>
      <c r="L18" s="89"/>
      <c r="M18" s="95">
        <v>2000000</v>
      </c>
      <c r="N18" s="96" t="s">
        <v>44</v>
      </c>
      <c r="O18" s="97" t="s">
        <v>44</v>
      </c>
      <c r="P18" s="126">
        <f t="shared" si="6"/>
        <v>8672433.4046467319</v>
      </c>
      <c r="S18"/>
    </row>
    <row r="19" spans="1:19" x14ac:dyDescent="0.25">
      <c r="A19" s="118"/>
      <c r="B19" s="247"/>
      <c r="C19" s="127">
        <v>12</v>
      </c>
      <c r="D19" s="128" t="s">
        <v>63</v>
      </c>
      <c r="E19" s="129">
        <v>865856.43149894197</v>
      </c>
      <c r="F19" s="130">
        <f t="shared" si="0"/>
        <v>0</v>
      </c>
      <c r="G19" s="130">
        <f t="shared" si="1"/>
        <v>265856.43149894197</v>
      </c>
      <c r="H19" s="131">
        <f t="shared" si="2"/>
        <v>5.236501665146275E-3</v>
      </c>
      <c r="I19" s="130">
        <f t="shared" si="3"/>
        <v>-7763.5213756805051</v>
      </c>
      <c r="J19" s="132">
        <f t="shared" si="4"/>
        <v>858092.91012326151</v>
      </c>
      <c r="K19" s="133">
        <f t="shared" si="5"/>
        <v>1.3224362997475755E-2</v>
      </c>
      <c r="L19" s="89"/>
      <c r="M19" s="219">
        <v>1287139.3651848922</v>
      </c>
      <c r="N19" s="96" t="s">
        <v>44</v>
      </c>
      <c r="O19" s="97" t="s">
        <v>44</v>
      </c>
      <c r="P19" s="126">
        <f t="shared" si="6"/>
        <v>1287139.3651848922</v>
      </c>
      <c r="S19"/>
    </row>
    <row r="20" spans="1:19" ht="16.5" thickBot="1" x14ac:dyDescent="0.3">
      <c r="A20" s="118"/>
      <c r="B20" s="248"/>
      <c r="C20" s="134">
        <v>13</v>
      </c>
      <c r="D20" s="135" t="s">
        <v>64</v>
      </c>
      <c r="E20" s="136">
        <v>2267907.4379535285</v>
      </c>
      <c r="F20" s="137">
        <f t="shared" si="0"/>
        <v>0</v>
      </c>
      <c r="G20" s="137">
        <f>IF(E20&gt;600000,E20-600000,0)</f>
        <v>1667907.4379535285</v>
      </c>
      <c r="H20" s="138">
        <f t="shared" si="2"/>
        <v>3.2852318173797003E-2</v>
      </c>
      <c r="I20" s="137">
        <f t="shared" si="3"/>
        <v>-48706.119217056657</v>
      </c>
      <c r="J20" s="139">
        <f t="shared" si="4"/>
        <v>2219201.3187364717</v>
      </c>
      <c r="K20" s="140">
        <f t="shared" si="5"/>
        <v>3.420086969280791E-2</v>
      </c>
      <c r="L20" s="89"/>
      <c r="M20" s="222">
        <v>2000000</v>
      </c>
      <c r="N20" s="98" t="s">
        <v>44</v>
      </c>
      <c r="O20" s="99" t="s">
        <v>44</v>
      </c>
      <c r="P20" s="126">
        <f t="shared" si="6"/>
        <v>3328801.9781047078</v>
      </c>
      <c r="S20"/>
    </row>
    <row r="21" spans="1:19" ht="16.5" thickBot="1" x14ac:dyDescent="0.3">
      <c r="A21" s="111"/>
      <c r="B21" s="141"/>
      <c r="C21" s="142"/>
      <c r="D21" s="143"/>
      <c r="E21" s="144"/>
      <c r="F21" s="145"/>
      <c r="G21" s="146"/>
      <c r="H21" s="147"/>
      <c r="I21" s="148"/>
      <c r="J21" s="149"/>
      <c r="K21" s="150"/>
      <c r="L21" s="89"/>
      <c r="M21" s="100"/>
      <c r="N21" s="151"/>
      <c r="O21" s="151"/>
      <c r="P21" s="126">
        <f t="shared" si="6"/>
        <v>0</v>
      </c>
      <c r="S21"/>
    </row>
    <row r="22" spans="1:19" ht="16.5" thickBot="1" x14ac:dyDescent="0.3">
      <c r="A22" s="118"/>
      <c r="B22" s="246" t="s">
        <v>51</v>
      </c>
      <c r="C22" s="152">
        <v>1</v>
      </c>
      <c r="D22" s="153" t="s">
        <v>43</v>
      </c>
      <c r="E22" s="121">
        <v>686975.32008265541</v>
      </c>
      <c r="F22" s="122">
        <f>IF(E22&lt;600000,600000-E22,0)</f>
        <v>0</v>
      </c>
      <c r="G22" s="122">
        <f>IF(E22&gt;600000,E22-600000,0)</f>
        <v>86975.320082655409</v>
      </c>
      <c r="H22" s="123">
        <f>IF(E22&gt;600000,(E22-600000)/$G$39,0)</f>
        <v>1.7131291722813479E-3</v>
      </c>
      <c r="I22" s="122">
        <f>IF(E22&lt;600000,F22,-H22*$F$39)</f>
        <v>-2539.8473635234832</v>
      </c>
      <c r="J22" s="124">
        <f t="shared" si="4"/>
        <v>684435.47271913197</v>
      </c>
      <c r="K22" s="125">
        <f>J22/$E$39</f>
        <v>1.0548068901171255E-2</v>
      </c>
      <c r="L22" s="89"/>
      <c r="M22" s="220">
        <v>1026653.209078698</v>
      </c>
      <c r="N22"/>
      <c r="O22"/>
      <c r="P22" s="126">
        <f t="shared" si="6"/>
        <v>1026653.209078698</v>
      </c>
      <c r="S22"/>
    </row>
    <row r="23" spans="1:19" ht="16.5" thickBot="1" x14ac:dyDescent="0.3">
      <c r="A23" s="118"/>
      <c r="B23" s="247"/>
      <c r="C23" s="154">
        <v>2</v>
      </c>
      <c r="D23" s="155" t="s">
        <v>45</v>
      </c>
      <c r="E23" s="129">
        <v>471808.86580379499</v>
      </c>
      <c r="F23" s="130">
        <f t="shared" ref="F23:F34" si="7">IF(E23&lt;600000,600000-E23,0)</f>
        <v>128191.13419620501</v>
      </c>
      <c r="G23" s="130">
        <f t="shared" ref="G23:G34" si="8">IF(E23&gt;600000,E23-600000,0)</f>
        <v>0</v>
      </c>
      <c r="H23" s="131">
        <f t="shared" ref="H23:H34" si="9">IF(E23&gt;600000,(E23-600000)/$G$39,0)</f>
        <v>0</v>
      </c>
      <c r="I23" s="130">
        <f t="shared" ref="I23:I34" si="10">IF(E23&lt;600000,F23,-H23*$F$39)</f>
        <v>128191.13419620501</v>
      </c>
      <c r="J23" s="132">
        <f t="shared" si="4"/>
        <v>600000</v>
      </c>
      <c r="K23" s="133">
        <f t="shared" ref="K23:K34" si="11">J23/$E$39</f>
        <v>9.246804984492504E-3</v>
      </c>
      <c r="L23" s="89"/>
      <c r="M23" s="220">
        <v>900000</v>
      </c>
      <c r="N23"/>
      <c r="O23"/>
      <c r="P23" s="126">
        <f t="shared" si="6"/>
        <v>900000</v>
      </c>
      <c r="S23"/>
    </row>
    <row r="24" spans="1:19" ht="16.5" thickBot="1" x14ac:dyDescent="0.3">
      <c r="A24" s="118"/>
      <c r="B24" s="247"/>
      <c r="C24" s="154">
        <v>3</v>
      </c>
      <c r="D24" s="155" t="s">
        <v>59</v>
      </c>
      <c r="E24" s="129">
        <v>544846.48524265341</v>
      </c>
      <c r="F24" s="130">
        <f t="shared" si="7"/>
        <v>55153.514757346595</v>
      </c>
      <c r="G24" s="130">
        <f t="shared" si="8"/>
        <v>0</v>
      </c>
      <c r="H24" s="131">
        <f t="shared" si="9"/>
        <v>0</v>
      </c>
      <c r="I24" s="130">
        <f t="shared" si="10"/>
        <v>55153.514757346595</v>
      </c>
      <c r="J24" s="132">
        <f t="shared" si="4"/>
        <v>600000</v>
      </c>
      <c r="K24" s="133">
        <f t="shared" si="11"/>
        <v>9.246804984492504E-3</v>
      </c>
      <c r="L24" s="89"/>
      <c r="M24" s="220">
        <v>900000</v>
      </c>
      <c r="N24"/>
      <c r="O24"/>
      <c r="P24" s="126">
        <f t="shared" si="6"/>
        <v>900000</v>
      </c>
      <c r="S24"/>
    </row>
    <row r="25" spans="1:19" ht="16.5" thickBot="1" x14ac:dyDescent="0.3">
      <c r="A25" s="118"/>
      <c r="B25" s="247"/>
      <c r="C25" s="154">
        <v>4</v>
      </c>
      <c r="D25" s="155" t="s">
        <v>46</v>
      </c>
      <c r="E25" s="129">
        <v>1381375.0851129899</v>
      </c>
      <c r="F25" s="130">
        <f t="shared" si="7"/>
        <v>0</v>
      </c>
      <c r="G25" s="130">
        <f t="shared" si="8"/>
        <v>781375.08511298988</v>
      </c>
      <c r="H25" s="131">
        <f t="shared" si="9"/>
        <v>1.5390532067358574E-2</v>
      </c>
      <c r="I25" s="130">
        <f t="shared" si="10"/>
        <v>-22817.661929397462</v>
      </c>
      <c r="J25" s="132">
        <f t="shared" si="4"/>
        <v>1358557.4231835925</v>
      </c>
      <c r="K25" s="133">
        <f t="shared" si="11"/>
        <v>2.093719258735556E-2</v>
      </c>
      <c r="L25" s="89"/>
      <c r="M25" s="92">
        <v>2000000</v>
      </c>
      <c r="N25"/>
      <c r="O25"/>
      <c r="P25" s="126">
        <f t="shared" si="6"/>
        <v>2037836.1347753888</v>
      </c>
      <c r="S25"/>
    </row>
    <row r="26" spans="1:19" ht="16.5" thickBot="1" x14ac:dyDescent="0.3">
      <c r="A26" s="118"/>
      <c r="B26" s="247"/>
      <c r="C26" s="154">
        <v>5</v>
      </c>
      <c r="D26" s="155" t="s">
        <v>47</v>
      </c>
      <c r="E26" s="129">
        <v>1030642.5701844292</v>
      </c>
      <c r="F26" s="130">
        <f t="shared" si="7"/>
        <v>0</v>
      </c>
      <c r="G26" s="130">
        <f t="shared" si="8"/>
        <v>430642.57018442918</v>
      </c>
      <c r="H26" s="131">
        <f t="shared" si="9"/>
        <v>8.4822493220842385E-3</v>
      </c>
      <c r="I26" s="130">
        <f t="shared" si="10"/>
        <v>-12575.59495572374</v>
      </c>
      <c r="J26" s="132">
        <f t="shared" si="4"/>
        <v>1018066.9752287054</v>
      </c>
      <c r="K26" s="133">
        <f t="shared" si="11"/>
        <v>1.5689777968486668E-2</v>
      </c>
      <c r="L26" s="89"/>
      <c r="M26" s="220">
        <v>1527100.46</v>
      </c>
      <c r="N26"/>
      <c r="O26"/>
      <c r="P26" s="126">
        <f t="shared" si="6"/>
        <v>1527100.4628430582</v>
      </c>
      <c r="S26"/>
    </row>
    <row r="27" spans="1:19" ht="16.5" thickBot="1" x14ac:dyDescent="0.3">
      <c r="A27" s="118"/>
      <c r="B27" s="247"/>
      <c r="C27" s="154">
        <v>6</v>
      </c>
      <c r="D27" s="155" t="s">
        <v>48</v>
      </c>
      <c r="E27" s="129">
        <v>509454.09195327904</v>
      </c>
      <c r="F27" s="130">
        <f t="shared" si="7"/>
        <v>90545.908046720957</v>
      </c>
      <c r="G27" s="130">
        <f t="shared" si="8"/>
        <v>0</v>
      </c>
      <c r="H27" s="131">
        <f t="shared" si="9"/>
        <v>0</v>
      </c>
      <c r="I27" s="130">
        <f t="shared" si="10"/>
        <v>90545.908046720957</v>
      </c>
      <c r="J27" s="132">
        <f t="shared" si="4"/>
        <v>600000</v>
      </c>
      <c r="K27" s="133">
        <f t="shared" si="11"/>
        <v>9.246804984492504E-3</v>
      </c>
      <c r="L27" s="89"/>
      <c r="M27" s="220">
        <v>900000</v>
      </c>
      <c r="N27"/>
      <c r="O27"/>
      <c r="P27" s="126">
        <f t="shared" si="6"/>
        <v>900000</v>
      </c>
      <c r="S27"/>
    </row>
    <row r="28" spans="1:19" ht="16.5" thickBot="1" x14ac:dyDescent="0.3">
      <c r="A28" s="118"/>
      <c r="B28" s="247"/>
      <c r="C28" s="154">
        <v>7</v>
      </c>
      <c r="D28" s="155" t="s">
        <v>60</v>
      </c>
      <c r="E28" s="129">
        <v>256501.23678564603</v>
      </c>
      <c r="F28" s="130">
        <f t="shared" si="7"/>
        <v>343498.76321435394</v>
      </c>
      <c r="G28" s="130">
        <f t="shared" si="8"/>
        <v>0</v>
      </c>
      <c r="H28" s="131">
        <f t="shared" si="9"/>
        <v>0</v>
      </c>
      <c r="I28" s="130">
        <f t="shared" si="10"/>
        <v>343498.76321435394</v>
      </c>
      <c r="J28" s="132">
        <f t="shared" si="4"/>
        <v>600000</v>
      </c>
      <c r="K28" s="133">
        <f t="shared" si="11"/>
        <v>9.246804984492504E-3</v>
      </c>
      <c r="L28" s="89"/>
      <c r="M28" s="220">
        <v>900000</v>
      </c>
      <c r="N28"/>
      <c r="O28"/>
      <c r="P28" s="126">
        <f t="shared" si="6"/>
        <v>900000</v>
      </c>
      <c r="S28"/>
    </row>
    <row r="29" spans="1:19" ht="16.5" thickBot="1" x14ac:dyDescent="0.3">
      <c r="A29" s="118"/>
      <c r="B29" s="247"/>
      <c r="C29" s="154">
        <v>8</v>
      </c>
      <c r="D29" s="155" t="s">
        <v>49</v>
      </c>
      <c r="E29" s="129">
        <v>660556.35713631497</v>
      </c>
      <c r="F29" s="130">
        <f t="shared" si="7"/>
        <v>0</v>
      </c>
      <c r="G29" s="130">
        <f t="shared" si="8"/>
        <v>60556.357136314968</v>
      </c>
      <c r="H29" s="131">
        <f t="shared" si="9"/>
        <v>1.1927620603030919E-3</v>
      </c>
      <c r="I29" s="130">
        <f t="shared" si="10"/>
        <v>-1768.3626098885441</v>
      </c>
      <c r="J29" s="132">
        <f t="shared" si="4"/>
        <v>658787.99452642642</v>
      </c>
      <c r="K29" s="133">
        <f t="shared" si="11"/>
        <v>1.0152806852517968E-2</v>
      </c>
      <c r="L29" s="89"/>
      <c r="M29" s="220">
        <v>988181.99178963969</v>
      </c>
      <c r="N29"/>
      <c r="O29"/>
      <c r="P29" s="126">
        <f t="shared" si="6"/>
        <v>988181.99178963969</v>
      </c>
      <c r="S29"/>
    </row>
    <row r="30" spans="1:19" ht="16.5" thickBot="1" x14ac:dyDescent="0.3">
      <c r="A30" s="118"/>
      <c r="B30" s="247"/>
      <c r="C30" s="154">
        <v>9</v>
      </c>
      <c r="D30" s="155" t="s">
        <v>61</v>
      </c>
      <c r="E30" s="129">
        <v>500516.6449778456</v>
      </c>
      <c r="F30" s="130">
        <f t="shared" si="7"/>
        <v>99483.355022154399</v>
      </c>
      <c r="G30" s="130">
        <f t="shared" si="8"/>
        <v>0</v>
      </c>
      <c r="H30" s="131">
        <f t="shared" si="9"/>
        <v>0</v>
      </c>
      <c r="I30" s="130">
        <f t="shared" si="10"/>
        <v>99483.355022154399</v>
      </c>
      <c r="J30" s="132">
        <f t="shared" si="4"/>
        <v>600000</v>
      </c>
      <c r="K30" s="133">
        <f t="shared" si="11"/>
        <v>9.246804984492504E-3</v>
      </c>
      <c r="L30" s="89"/>
      <c r="M30" s="220">
        <v>900000</v>
      </c>
      <c r="N30"/>
      <c r="O30"/>
      <c r="P30" s="126">
        <f t="shared" si="6"/>
        <v>900000</v>
      </c>
      <c r="S30"/>
    </row>
    <row r="31" spans="1:19" ht="16.5" thickBot="1" x14ac:dyDescent="0.3">
      <c r="A31" s="118"/>
      <c r="B31" s="247"/>
      <c r="C31" s="154">
        <v>10</v>
      </c>
      <c r="D31" s="155" t="s">
        <v>62</v>
      </c>
      <c r="E31" s="129">
        <v>629342.61140828393</v>
      </c>
      <c r="F31" s="130">
        <f t="shared" si="7"/>
        <v>0</v>
      </c>
      <c r="G31" s="130">
        <f t="shared" si="8"/>
        <v>29342.611408283934</v>
      </c>
      <c r="H31" s="131">
        <f t="shared" si="9"/>
        <v>5.7795341881669094E-4</v>
      </c>
      <c r="I31" s="130">
        <f t="shared" si="10"/>
        <v>-856.86093656683113</v>
      </c>
      <c r="J31" s="132">
        <f t="shared" si="4"/>
        <v>628485.7504717171</v>
      </c>
      <c r="K31" s="133">
        <f t="shared" si="11"/>
        <v>9.6858086169073106E-3</v>
      </c>
      <c r="L31" s="89"/>
      <c r="M31" s="220">
        <v>942728.62570757559</v>
      </c>
      <c r="N31"/>
      <c r="O31"/>
      <c r="P31" s="126">
        <f t="shared" si="6"/>
        <v>942728.62570757559</v>
      </c>
      <c r="S31"/>
    </row>
    <row r="32" spans="1:19" ht="16.5" thickBot="1" x14ac:dyDescent="0.3">
      <c r="A32" s="118"/>
      <c r="B32" s="247"/>
      <c r="C32" s="154">
        <v>11</v>
      </c>
      <c r="D32" s="155" t="s">
        <v>50</v>
      </c>
      <c r="E32" s="129">
        <v>978224.1738149845</v>
      </c>
      <c r="F32" s="130">
        <f t="shared" si="7"/>
        <v>0</v>
      </c>
      <c r="G32" s="130">
        <f t="shared" si="8"/>
        <v>378224.1738149845</v>
      </c>
      <c r="H32" s="131">
        <f t="shared" si="9"/>
        <v>7.4497784567932211E-3</v>
      </c>
      <c r="I32" s="130">
        <f t="shared" si="10"/>
        <v>-11044.876520970744</v>
      </c>
      <c r="J32" s="132">
        <f t="shared" si="4"/>
        <v>967179.29729401378</v>
      </c>
      <c r="K32" s="133">
        <f t="shared" si="11"/>
        <v>1.4905530578527074E-2</v>
      </c>
      <c r="L32" s="89"/>
      <c r="M32" s="220">
        <v>1450768.95</v>
      </c>
      <c r="N32"/>
      <c r="O32"/>
      <c r="P32" s="126">
        <f t="shared" si="6"/>
        <v>1450768.9459410207</v>
      </c>
      <c r="S32"/>
    </row>
    <row r="33" spans="1:19" ht="16.5" thickBot="1" x14ac:dyDescent="0.3">
      <c r="A33" s="118"/>
      <c r="B33" s="247"/>
      <c r="C33" s="154">
        <v>12</v>
      </c>
      <c r="D33" s="155" t="s">
        <v>63</v>
      </c>
      <c r="E33" s="129">
        <v>383852.79408406524</v>
      </c>
      <c r="F33" s="130">
        <f t="shared" si="7"/>
        <v>216147.20591593476</v>
      </c>
      <c r="G33" s="130">
        <f t="shared" si="8"/>
        <v>0</v>
      </c>
      <c r="H33" s="131">
        <f t="shared" si="9"/>
        <v>0</v>
      </c>
      <c r="I33" s="130">
        <f t="shared" si="10"/>
        <v>216147.20591593476</v>
      </c>
      <c r="J33" s="132">
        <f t="shared" si="4"/>
        <v>600000</v>
      </c>
      <c r="K33" s="133">
        <f t="shared" si="11"/>
        <v>9.246804984492504E-3</v>
      </c>
      <c r="L33" s="89"/>
      <c r="M33" s="220">
        <v>900000</v>
      </c>
      <c r="N33"/>
      <c r="O33"/>
      <c r="P33" s="126">
        <f t="shared" si="6"/>
        <v>900000</v>
      </c>
      <c r="S33"/>
    </row>
    <row r="34" spans="1:19" ht="16.5" thickBot="1" x14ac:dyDescent="0.3">
      <c r="A34" s="118"/>
      <c r="B34" s="248"/>
      <c r="C34" s="156">
        <v>13</v>
      </c>
      <c r="D34" s="157" t="s">
        <v>64</v>
      </c>
      <c r="E34" s="136">
        <v>55723.784968421976</v>
      </c>
      <c r="F34" s="137">
        <f t="shared" si="7"/>
        <v>544276.21503157797</v>
      </c>
      <c r="G34" s="158">
        <f t="shared" si="8"/>
        <v>0</v>
      </c>
      <c r="H34" s="138">
        <f t="shared" si="9"/>
        <v>0</v>
      </c>
      <c r="I34" s="137">
        <f t="shared" si="10"/>
        <v>544276.21503157797</v>
      </c>
      <c r="J34" s="139">
        <f t="shared" si="4"/>
        <v>600000</v>
      </c>
      <c r="K34" s="140">
        <f t="shared" si="11"/>
        <v>9.246804984492504E-3</v>
      </c>
      <c r="L34" s="89"/>
      <c r="M34" s="223">
        <v>900000</v>
      </c>
      <c r="N34" s="101"/>
      <c r="O34" s="102"/>
      <c r="P34" s="126">
        <f t="shared" si="6"/>
        <v>900000</v>
      </c>
      <c r="S34"/>
    </row>
    <row r="35" spans="1:19" ht="16.5" thickBot="1" x14ac:dyDescent="0.3">
      <c r="A35" s="159"/>
      <c r="B35" s="109"/>
      <c r="C35" s="160"/>
      <c r="D35" s="160"/>
      <c r="E35" s="161"/>
      <c r="F35" s="161"/>
      <c r="G35" s="161"/>
      <c r="H35" s="160"/>
      <c r="I35" s="161"/>
      <c r="J35" s="162"/>
      <c r="K35" s="160"/>
      <c r="L35" s="89"/>
    </row>
    <row r="36" spans="1:19" x14ac:dyDescent="0.25">
      <c r="A36" s="105"/>
      <c r="B36" s="163"/>
      <c r="C36" s="160"/>
      <c r="D36" s="164" t="s">
        <v>52</v>
      </c>
      <c r="E36" s="122">
        <f>SUM(E8:E20)</f>
        <v>56797457.368444659</v>
      </c>
      <c r="F36" s="122">
        <f>SUM(F8:F20)</f>
        <v>5281.7529461410595</v>
      </c>
      <c r="G36" s="122">
        <f>SUM(G8:G20)</f>
        <v>49002739.121390797</v>
      </c>
      <c r="H36" s="165"/>
      <c r="I36" s="122">
        <f>SUM(I8:I20)</f>
        <v>-1425692.8918682227</v>
      </c>
      <c r="J36" s="124">
        <f>SUM(J8:J20)</f>
        <v>55371764.476576418</v>
      </c>
      <c r="K36" s="125">
        <f>J36/$E$39</f>
        <v>0.85335317960358636</v>
      </c>
      <c r="L36" s="166"/>
    </row>
    <row r="37" spans="1:19" ht="16.5" thickBot="1" x14ac:dyDescent="0.3">
      <c r="A37" s="105"/>
      <c r="B37" s="163"/>
      <c r="C37" s="160"/>
      <c r="D37" s="167" t="s">
        <v>53</v>
      </c>
      <c r="E37" s="158">
        <f>SUM(E22:E34)</f>
        <v>8089820.0215553641</v>
      </c>
      <c r="F37" s="158">
        <f>SUM(F22:F34)</f>
        <v>1477296.0961842937</v>
      </c>
      <c r="G37" s="158">
        <f>SUM(G22:G34)</f>
        <v>1767116.1177396579</v>
      </c>
      <c r="H37" s="168"/>
      <c r="I37" s="158">
        <f>SUM(I22:I34)</f>
        <v>1425692.891868223</v>
      </c>
      <c r="J37" s="139">
        <f>SUM(J22:J34)</f>
        <v>9515512.9134235866</v>
      </c>
      <c r="K37" s="169">
        <f>J37/$E$39</f>
        <v>0.14664682039641336</v>
      </c>
      <c r="L37" s="166"/>
    </row>
    <row r="38" spans="1:19" ht="16.5" thickBot="1" x14ac:dyDescent="0.3">
      <c r="A38" s="105"/>
      <c r="B38" s="163"/>
      <c r="C38" s="160"/>
      <c r="D38" s="170"/>
      <c r="E38" s="144"/>
      <c r="F38" s="144"/>
      <c r="G38" s="144"/>
      <c r="H38" s="171"/>
      <c r="I38" s="172"/>
      <c r="J38" s="173"/>
      <c r="K38" s="174"/>
      <c r="L38" s="166"/>
    </row>
    <row r="39" spans="1:19" x14ac:dyDescent="0.25">
      <c r="A39" s="105"/>
      <c r="B39" s="175"/>
      <c r="C39" s="160"/>
      <c r="D39" s="164" t="s">
        <v>54</v>
      </c>
      <c r="E39" s="122">
        <f>E36+E37</f>
        <v>64887277.390000023</v>
      </c>
      <c r="F39" s="212">
        <f>F36+F37</f>
        <v>1482577.8491304349</v>
      </c>
      <c r="G39" s="212">
        <f>G36+G37</f>
        <v>50769855.239130452</v>
      </c>
      <c r="H39" s="176"/>
      <c r="I39" s="177"/>
      <c r="J39" s="208">
        <f>J36+J37</f>
        <v>64887277.390000001</v>
      </c>
      <c r="K39" s="125">
        <f>J39/$E$42</f>
        <v>0.85</v>
      </c>
      <c r="L39" s="166"/>
    </row>
    <row r="40" spans="1:19" x14ac:dyDescent="0.25">
      <c r="A40" s="105"/>
      <c r="B40" s="163"/>
      <c r="C40" s="160"/>
      <c r="D40" s="178" t="s">
        <v>55</v>
      </c>
      <c r="E40" s="179">
        <f>Calculation!B10</f>
        <v>11450696.01</v>
      </c>
      <c r="F40" s="180"/>
      <c r="G40" s="181"/>
      <c r="H40" s="182"/>
      <c r="I40" s="183"/>
      <c r="J40" s="209">
        <f>E40</f>
        <v>11450696.01</v>
      </c>
      <c r="K40" s="184">
        <f t="shared" ref="K40:K42" si="12">J40/$E$42</f>
        <v>0.15</v>
      </c>
      <c r="L40" s="166"/>
    </row>
    <row r="41" spans="1:19" x14ac:dyDescent="0.25">
      <c r="A41" s="105"/>
      <c r="B41" s="163"/>
      <c r="C41" s="185"/>
      <c r="D41" s="186" t="s">
        <v>56</v>
      </c>
      <c r="E41" s="187">
        <f>E42*0.05</f>
        <v>3816898.6700000004</v>
      </c>
      <c r="F41" s="188"/>
      <c r="G41" s="189"/>
      <c r="H41" s="190"/>
      <c r="I41" s="191"/>
      <c r="J41" s="210">
        <f>E41</f>
        <v>3816898.6700000004</v>
      </c>
      <c r="K41" s="184">
        <f t="shared" si="12"/>
        <v>0.05</v>
      </c>
      <c r="L41" s="166"/>
    </row>
    <row r="42" spans="1:19" ht="16.5" thickBot="1" x14ac:dyDescent="0.3">
      <c r="A42" s="105"/>
      <c r="B42" s="163"/>
      <c r="C42" s="185"/>
      <c r="D42" s="167" t="s">
        <v>30</v>
      </c>
      <c r="E42" s="192">
        <f>Calculation!B8</f>
        <v>76337973.400000006</v>
      </c>
      <c r="F42" s="193"/>
      <c r="G42" s="194"/>
      <c r="H42" s="195"/>
      <c r="I42" s="196"/>
      <c r="J42" s="211">
        <f>J39+J40</f>
        <v>76337973.400000006</v>
      </c>
      <c r="K42" s="169">
        <f t="shared" si="12"/>
        <v>1</v>
      </c>
      <c r="L42" s="166"/>
    </row>
    <row r="43" spans="1:19" x14ac:dyDescent="0.25">
      <c r="A43" s="110"/>
      <c r="B43" s="197"/>
      <c r="C43" s="197"/>
      <c r="D43" s="110"/>
      <c r="E43" s="110"/>
      <c r="F43" s="110"/>
      <c r="G43" s="110"/>
      <c r="H43" s="110"/>
      <c r="I43" s="110"/>
      <c r="J43" s="110"/>
      <c r="K43" s="110"/>
      <c r="L43" s="110"/>
      <c r="O43" s="102"/>
    </row>
    <row r="44" spans="1:19" x14ac:dyDescent="0.25">
      <c r="A44" s="105"/>
      <c r="B44" s="163"/>
      <c r="C44" s="163"/>
      <c r="D44" s="198" t="s">
        <v>57</v>
      </c>
      <c r="F44" s="199"/>
      <c r="G44" s="199"/>
      <c r="H44" s="199"/>
      <c r="I44" s="200"/>
      <c r="J44" s="201"/>
      <c r="K44" s="199"/>
      <c r="L44" s="166"/>
      <c r="O44" s="102"/>
    </row>
    <row r="45" spans="1:19" x14ac:dyDescent="0.25">
      <c r="A45" s="105"/>
      <c r="B45" s="163"/>
      <c r="C45" s="163"/>
      <c r="D45" s="198"/>
      <c r="F45" s="199"/>
      <c r="G45" s="199"/>
      <c r="H45" s="199"/>
      <c r="I45" s="200"/>
      <c r="J45" s="201"/>
      <c r="K45" s="199"/>
      <c r="L45" s="166"/>
      <c r="O45" s="102"/>
    </row>
    <row r="46" spans="1:19" ht="15.75" customHeight="1" x14ac:dyDescent="0.25">
      <c r="A46" s="202"/>
      <c r="B46" s="163"/>
      <c r="C46" s="163"/>
      <c r="D46" s="233" t="s">
        <v>75</v>
      </c>
      <c r="E46" s="233"/>
      <c r="F46" s="233"/>
      <c r="G46" s="233"/>
      <c r="H46" s="233"/>
      <c r="I46" s="233"/>
      <c r="J46" s="233"/>
      <c r="K46" s="233"/>
      <c r="L46" s="233"/>
      <c r="M46" s="233"/>
      <c r="N46" s="233"/>
      <c r="O46" s="233"/>
    </row>
    <row r="47" spans="1:19" x14ac:dyDescent="0.25">
      <c r="A47" s="202"/>
      <c r="B47" s="163"/>
      <c r="C47" s="163"/>
      <c r="D47" s="233"/>
      <c r="E47" s="233"/>
      <c r="F47" s="233"/>
      <c r="G47" s="233"/>
      <c r="H47" s="233"/>
      <c r="I47" s="233"/>
      <c r="J47" s="233"/>
      <c r="K47" s="233"/>
      <c r="L47" s="233"/>
      <c r="M47" s="233"/>
      <c r="N47" s="233"/>
      <c r="O47" s="233"/>
    </row>
    <row r="48" spans="1:19" x14ac:dyDescent="0.25">
      <c r="A48" s="202"/>
      <c r="B48" s="163"/>
      <c r="C48" s="163"/>
      <c r="D48" s="233"/>
      <c r="E48" s="233"/>
      <c r="F48" s="233"/>
      <c r="G48" s="233"/>
      <c r="H48" s="233"/>
      <c r="I48" s="233"/>
      <c r="J48" s="233"/>
      <c r="K48" s="233"/>
      <c r="L48" s="233"/>
      <c r="M48" s="233"/>
      <c r="N48" s="233"/>
      <c r="O48" s="233"/>
    </row>
    <row r="49" spans="1:15" x14ac:dyDescent="0.25">
      <c r="A49" s="202"/>
      <c r="B49" s="163"/>
      <c r="C49" s="163"/>
      <c r="D49" s="233"/>
      <c r="E49" s="233"/>
      <c r="F49" s="233"/>
      <c r="G49" s="233"/>
      <c r="H49" s="233"/>
      <c r="I49" s="233"/>
      <c r="J49" s="233"/>
      <c r="K49" s="233"/>
      <c r="L49" s="233"/>
      <c r="M49" s="233"/>
      <c r="N49" s="233"/>
      <c r="O49" s="233"/>
    </row>
    <row r="50" spans="1:15" ht="81" customHeight="1" x14ac:dyDescent="0.25">
      <c r="D50" s="233"/>
      <c r="E50" s="233"/>
      <c r="F50" s="233"/>
      <c r="G50" s="233"/>
      <c r="H50" s="233"/>
      <c r="I50" s="233"/>
      <c r="J50" s="233"/>
      <c r="K50" s="233"/>
      <c r="L50" s="233"/>
      <c r="M50" s="233"/>
      <c r="N50" s="233"/>
      <c r="O50" s="233"/>
    </row>
    <row r="51" spans="1:15" x14ac:dyDescent="0.25">
      <c r="D51"/>
      <c r="E51"/>
      <c r="F51"/>
      <c r="G51"/>
      <c r="H51"/>
      <c r="I51"/>
      <c r="J51"/>
      <c r="K51"/>
      <c r="L51"/>
      <c r="M51"/>
      <c r="N51"/>
      <c r="O51"/>
    </row>
    <row r="52" spans="1:15" x14ac:dyDescent="0.25">
      <c r="D52"/>
      <c r="E52"/>
      <c r="F52"/>
      <c r="G52"/>
      <c r="H52"/>
      <c r="I52"/>
      <c r="J52"/>
      <c r="K52"/>
      <c r="L52"/>
      <c r="M52"/>
      <c r="N52"/>
      <c r="O52"/>
    </row>
    <row r="53" spans="1:15" x14ac:dyDescent="0.25">
      <c r="F53"/>
      <c r="G53"/>
      <c r="H53"/>
      <c r="I53"/>
      <c r="J53"/>
      <c r="K53"/>
      <c r="L53"/>
      <c r="M53"/>
      <c r="N53"/>
      <c r="O53"/>
    </row>
    <row r="54" spans="1:15" ht="30" hidden="1" x14ac:dyDescent="0.25">
      <c r="D54" s="206" t="s">
        <v>66</v>
      </c>
      <c r="E54" s="204">
        <v>28995881</v>
      </c>
      <c r="F54"/>
      <c r="G54"/>
      <c r="H54"/>
      <c r="I54"/>
      <c r="J54"/>
      <c r="K54"/>
      <c r="L54"/>
      <c r="M54"/>
      <c r="N54"/>
      <c r="O54"/>
    </row>
    <row r="55" spans="1:15" hidden="1" x14ac:dyDescent="0.25">
      <c r="D55" s="103" t="s">
        <v>67</v>
      </c>
      <c r="E55" s="205">
        <v>2.8125</v>
      </c>
    </row>
    <row r="56" spans="1:15" s="103" customFormat="1" ht="15" hidden="1" x14ac:dyDescent="0.25"/>
    <row r="57" spans="1:15" s="103" customFormat="1" ht="15" hidden="1" x14ac:dyDescent="0.25">
      <c r="D57" s="103" t="s">
        <v>68</v>
      </c>
      <c r="E57" s="203">
        <f>PRODUCT(E54,E55)</f>
        <v>81550915.3125</v>
      </c>
    </row>
    <row r="58" spans="1:15" s="103" customFormat="1" ht="15" x14ac:dyDescent="0.25"/>
    <row r="59" spans="1:15" s="103" customFormat="1" ht="15" x14ac:dyDescent="0.25"/>
    <row r="60" spans="1:15" s="103" customFormat="1" ht="15" x14ac:dyDescent="0.25"/>
    <row r="61" spans="1:15" s="103" customFormat="1" ht="15" x14ac:dyDescent="0.25"/>
    <row r="62" spans="1:15" s="103" customFormat="1" ht="15" x14ac:dyDescent="0.25"/>
    <row r="63" spans="1:15" s="103" customFormat="1" ht="15" x14ac:dyDescent="0.25"/>
    <row r="64" spans="1:15" s="103" customFormat="1" ht="15" x14ac:dyDescent="0.25"/>
    <row r="65" s="103" customFormat="1" ht="15" x14ac:dyDescent="0.25"/>
    <row r="66" s="103" customFormat="1" ht="15" x14ac:dyDescent="0.25"/>
    <row r="67" s="103" customFormat="1" ht="15" x14ac:dyDescent="0.25"/>
    <row r="68" s="103" customFormat="1" ht="15" x14ac:dyDescent="0.25"/>
    <row r="69" s="103" customFormat="1" ht="15" x14ac:dyDescent="0.25"/>
    <row r="70" s="103" customFormat="1" ht="15" x14ac:dyDescent="0.25"/>
    <row r="71" s="103" customFormat="1" ht="15" x14ac:dyDescent="0.25"/>
    <row r="72" s="103" customFormat="1" ht="15" x14ac:dyDescent="0.25"/>
    <row r="73" s="103" customFormat="1" ht="15" x14ac:dyDescent="0.25"/>
    <row r="74" s="103" customFormat="1" ht="15" x14ac:dyDescent="0.25"/>
    <row r="75" s="103" customFormat="1" ht="15" x14ac:dyDescent="0.25"/>
    <row r="76" s="103" customFormat="1" ht="15" x14ac:dyDescent="0.25"/>
    <row r="77" s="103" customFormat="1" ht="15" x14ac:dyDescent="0.25"/>
    <row r="78" s="103" customFormat="1" ht="15" x14ac:dyDescent="0.25"/>
    <row r="79" s="103" customFormat="1" ht="15" x14ac:dyDescent="0.25"/>
    <row r="80" s="103" customFormat="1" ht="15" x14ac:dyDescent="0.25"/>
    <row r="81" s="103" customFormat="1" ht="15" x14ac:dyDescent="0.25"/>
    <row r="82" s="103" customFormat="1" ht="15" x14ac:dyDescent="0.25"/>
    <row r="83" s="103" customFormat="1" ht="15" x14ac:dyDescent="0.25"/>
    <row r="84" s="103" customFormat="1" ht="15" x14ac:dyDescent="0.25"/>
    <row r="85" s="103" customFormat="1" ht="15" x14ac:dyDescent="0.25"/>
    <row r="86" s="103" customFormat="1" ht="15" x14ac:dyDescent="0.25"/>
    <row r="87" s="103" customFormat="1" ht="15" x14ac:dyDescent="0.25"/>
    <row r="88" s="103" customFormat="1" ht="15" x14ac:dyDescent="0.25"/>
    <row r="89" s="103" customFormat="1" ht="15" x14ac:dyDescent="0.25"/>
    <row r="90" s="103" customFormat="1" ht="15" x14ac:dyDescent="0.25"/>
    <row r="91" s="103" customFormat="1" ht="15" x14ac:dyDescent="0.25"/>
    <row r="92" s="103" customFormat="1" ht="15" x14ac:dyDescent="0.25"/>
    <row r="93" s="103" customFormat="1" ht="15" x14ac:dyDescent="0.25"/>
    <row r="94" s="103" customFormat="1" ht="15" x14ac:dyDescent="0.25"/>
    <row r="95" s="103" customFormat="1" ht="15" x14ac:dyDescent="0.25"/>
    <row r="96" s="103" customFormat="1" ht="15" x14ac:dyDescent="0.25"/>
    <row r="97" s="103" customFormat="1" ht="15" x14ac:dyDescent="0.25"/>
    <row r="98" s="103" customFormat="1" ht="15" x14ac:dyDescent="0.25"/>
    <row r="99" s="103" customFormat="1" ht="15" x14ac:dyDescent="0.25"/>
    <row r="100" s="103" customFormat="1" ht="15" x14ac:dyDescent="0.25"/>
    <row r="101" s="103" customFormat="1" ht="15" x14ac:dyDescent="0.25"/>
    <row r="102" s="103" customFormat="1" ht="15" x14ac:dyDescent="0.25"/>
    <row r="103" s="103" customFormat="1" ht="15" x14ac:dyDescent="0.25"/>
    <row r="104" s="103" customFormat="1" ht="15" x14ac:dyDescent="0.25"/>
    <row r="105" s="103" customFormat="1" ht="15" x14ac:dyDescent="0.25"/>
    <row r="106" s="103" customFormat="1" ht="15" x14ac:dyDescent="0.25"/>
    <row r="107" s="103" customFormat="1" ht="15" x14ac:dyDescent="0.25"/>
    <row r="108" s="103" customFormat="1" ht="15" x14ac:dyDescent="0.25"/>
    <row r="109" s="103" customFormat="1" ht="15" x14ac:dyDescent="0.25"/>
    <row r="110" s="103" customFormat="1" ht="15" x14ac:dyDescent="0.25"/>
    <row r="111" s="103" customFormat="1" ht="15" x14ac:dyDescent="0.25"/>
    <row r="112" s="103" customFormat="1" ht="15" x14ac:dyDescent="0.25"/>
    <row r="113" s="103" customFormat="1" ht="15" x14ac:dyDescent="0.25"/>
    <row r="114" s="103" customFormat="1" ht="15" x14ac:dyDescent="0.25"/>
    <row r="115" s="103" customFormat="1" ht="15" x14ac:dyDescent="0.25"/>
    <row r="116" s="103" customFormat="1" ht="15" x14ac:dyDescent="0.25"/>
    <row r="117" s="103" customFormat="1" ht="15" x14ac:dyDescent="0.25"/>
    <row r="118" s="103" customFormat="1" ht="15" x14ac:dyDescent="0.25"/>
    <row r="119" s="103" customFormat="1" ht="15" x14ac:dyDescent="0.25"/>
    <row r="120" s="103" customFormat="1" ht="15" x14ac:dyDescent="0.25"/>
    <row r="121" s="103" customFormat="1" ht="15" x14ac:dyDescent="0.25"/>
    <row r="122" s="103" customFormat="1" ht="15" x14ac:dyDescent="0.25"/>
    <row r="123" s="103" customFormat="1" ht="15" x14ac:dyDescent="0.25"/>
    <row r="124" s="103" customFormat="1" ht="15" x14ac:dyDescent="0.25"/>
    <row r="125" s="103" customFormat="1" ht="15" x14ac:dyDescent="0.25"/>
    <row r="126" s="103" customFormat="1" ht="15" x14ac:dyDescent="0.25"/>
    <row r="127" s="103" customFormat="1" ht="15" x14ac:dyDescent="0.25"/>
    <row r="128" s="103" customFormat="1" ht="15" x14ac:dyDescent="0.25"/>
    <row r="129" s="103" customFormat="1" ht="15" x14ac:dyDescent="0.25"/>
    <row r="130" s="103" customFormat="1" ht="15" x14ac:dyDescent="0.25"/>
    <row r="131" s="103" customFormat="1" ht="15" x14ac:dyDescent="0.25"/>
    <row r="132" s="103" customFormat="1" ht="15" x14ac:dyDescent="0.25"/>
    <row r="133" s="103" customFormat="1" ht="15" x14ac:dyDescent="0.25"/>
    <row r="134" s="103" customFormat="1" ht="15" x14ac:dyDescent="0.25"/>
    <row r="135" s="103" customFormat="1" ht="15" x14ac:dyDescent="0.25"/>
    <row r="136" s="103" customFormat="1" ht="15" x14ac:dyDescent="0.25"/>
    <row r="137" s="103" customFormat="1" ht="15" x14ac:dyDescent="0.25"/>
    <row r="138" s="103" customFormat="1" ht="15" x14ac:dyDescent="0.25"/>
    <row r="139" s="103" customFormat="1" ht="15" x14ac:dyDescent="0.25"/>
    <row r="140" s="103" customFormat="1" ht="15" x14ac:dyDescent="0.25"/>
    <row r="141" s="103" customFormat="1" ht="15" x14ac:dyDescent="0.25"/>
    <row r="142" s="103" customFormat="1" ht="15" x14ac:dyDescent="0.25"/>
    <row r="143" s="103" customFormat="1" ht="15" x14ac:dyDescent="0.25"/>
    <row r="144" s="103" customFormat="1" ht="15" x14ac:dyDescent="0.25"/>
    <row r="145" s="103" customFormat="1" ht="15" x14ac:dyDescent="0.25"/>
    <row r="146" s="103" customFormat="1" ht="15" x14ac:dyDescent="0.25"/>
    <row r="147" s="103" customFormat="1" ht="15" x14ac:dyDescent="0.25"/>
    <row r="148" s="103" customFormat="1" ht="15" x14ac:dyDescent="0.25"/>
    <row r="149" s="103" customFormat="1" ht="15" x14ac:dyDescent="0.25"/>
    <row r="150" s="103" customFormat="1" ht="15" x14ac:dyDescent="0.25"/>
    <row r="151" s="103" customFormat="1" ht="15" x14ac:dyDescent="0.25"/>
    <row r="152" s="103" customFormat="1" ht="15" x14ac:dyDescent="0.25"/>
    <row r="153" s="103" customFormat="1" ht="15" x14ac:dyDescent="0.25"/>
    <row r="154" s="103" customFormat="1" ht="15" x14ac:dyDescent="0.25"/>
    <row r="155" s="103" customFormat="1" ht="15" x14ac:dyDescent="0.25"/>
    <row r="156" s="103" customFormat="1" ht="15" x14ac:dyDescent="0.25"/>
    <row r="157" s="103" customFormat="1" ht="15" x14ac:dyDescent="0.25"/>
    <row r="158" s="103" customFormat="1" ht="15" x14ac:dyDescent="0.25"/>
    <row r="159" s="103" customFormat="1" ht="15" x14ac:dyDescent="0.25"/>
    <row r="160" s="103" customFormat="1" ht="15" x14ac:dyDescent="0.25"/>
    <row r="161" s="103" customFormat="1" ht="15" x14ac:dyDescent="0.25"/>
    <row r="162" s="103" customFormat="1" ht="15" x14ac:dyDescent="0.25"/>
    <row r="163" s="103" customFormat="1" ht="15" x14ac:dyDescent="0.25"/>
    <row r="164" s="103" customFormat="1" ht="15" x14ac:dyDescent="0.25"/>
    <row r="165" s="103" customFormat="1" ht="15" x14ac:dyDescent="0.25"/>
    <row r="166" s="103" customFormat="1" ht="15" x14ac:dyDescent="0.25"/>
    <row r="167" s="103" customFormat="1" ht="15" x14ac:dyDescent="0.25"/>
    <row r="168" s="103" customFormat="1" ht="15" x14ac:dyDescent="0.25"/>
    <row r="169" s="103" customFormat="1" ht="15" x14ac:dyDescent="0.25"/>
    <row r="170" s="103" customFormat="1" ht="15" x14ac:dyDescent="0.25"/>
    <row r="171" s="103" customFormat="1" ht="15" x14ac:dyDescent="0.25"/>
    <row r="172" s="103" customFormat="1" ht="15" x14ac:dyDescent="0.25"/>
    <row r="173" s="103" customFormat="1" ht="15" x14ac:dyDescent="0.25"/>
    <row r="174" s="103" customFormat="1" ht="15" x14ac:dyDescent="0.25"/>
    <row r="175" s="103" customFormat="1" ht="15" x14ac:dyDescent="0.25"/>
    <row r="176" s="103" customFormat="1" ht="15" x14ac:dyDescent="0.25"/>
    <row r="177" s="103" customFormat="1" ht="15" x14ac:dyDescent="0.25"/>
    <row r="178" s="103" customFormat="1" ht="15" x14ac:dyDescent="0.25"/>
    <row r="179" s="103" customFormat="1" ht="15" x14ac:dyDescent="0.25"/>
    <row r="180" s="103" customFormat="1" ht="15" x14ac:dyDescent="0.25"/>
    <row r="181" s="103" customFormat="1" ht="15" x14ac:dyDescent="0.25"/>
    <row r="182" s="103" customFormat="1" ht="15" x14ac:dyDescent="0.25"/>
    <row r="183" s="103" customFormat="1" ht="15" x14ac:dyDescent="0.25"/>
    <row r="184" s="103" customFormat="1" ht="15" x14ac:dyDescent="0.25"/>
    <row r="185" s="103" customFormat="1" ht="15" x14ac:dyDescent="0.25"/>
    <row r="186" s="103" customFormat="1" ht="15" x14ac:dyDescent="0.25"/>
    <row r="187" s="103" customFormat="1" ht="15" x14ac:dyDescent="0.25"/>
    <row r="188" s="103" customFormat="1" ht="15" x14ac:dyDescent="0.25"/>
    <row r="189" s="103" customFormat="1" ht="15" x14ac:dyDescent="0.25"/>
    <row r="190" s="103" customFormat="1" ht="15" x14ac:dyDescent="0.25"/>
    <row r="191" s="103" customFormat="1" ht="15" x14ac:dyDescent="0.25"/>
    <row r="192" s="103" customFormat="1" ht="15" x14ac:dyDescent="0.25"/>
    <row r="193" s="103" customFormat="1" ht="15" x14ac:dyDescent="0.25"/>
    <row r="194" s="103" customFormat="1" ht="15" x14ac:dyDescent="0.25"/>
    <row r="195" s="103" customFormat="1" ht="15" x14ac:dyDescent="0.25"/>
    <row r="196" s="103" customFormat="1" ht="15" x14ac:dyDescent="0.25"/>
    <row r="197" s="103" customFormat="1" ht="15" x14ac:dyDescent="0.25"/>
    <row r="198" s="103" customFormat="1" ht="15" x14ac:dyDescent="0.25"/>
    <row r="199" s="103" customFormat="1" ht="15" x14ac:dyDescent="0.25"/>
    <row r="200" s="103" customFormat="1" ht="15" x14ac:dyDescent="0.25"/>
    <row r="201" s="103" customFormat="1" ht="15" x14ac:dyDescent="0.25"/>
    <row r="202" s="103" customFormat="1" ht="15" x14ac:dyDescent="0.25"/>
    <row r="203" s="103" customFormat="1" ht="15" x14ac:dyDescent="0.25"/>
    <row r="204" s="103" customFormat="1" ht="15" x14ac:dyDescent="0.25"/>
    <row r="205" s="103" customFormat="1" ht="15" x14ac:dyDescent="0.25"/>
    <row r="206" s="103" customFormat="1" ht="15" x14ac:dyDescent="0.25"/>
    <row r="207" s="103" customFormat="1" ht="15" x14ac:dyDescent="0.25"/>
    <row r="208" s="103" customFormat="1" ht="15" x14ac:dyDescent="0.25"/>
    <row r="209" s="103" customFormat="1" ht="15" x14ac:dyDescent="0.25"/>
    <row r="210" s="103" customFormat="1" ht="15" x14ac:dyDescent="0.25"/>
    <row r="211" s="103" customFormat="1" ht="15" x14ac:dyDescent="0.25"/>
    <row r="212" s="103" customFormat="1" ht="15" x14ac:dyDescent="0.25"/>
    <row r="213" s="103" customFormat="1" ht="15" x14ac:dyDescent="0.25"/>
    <row r="214" s="103" customFormat="1" ht="15" x14ac:dyDescent="0.25"/>
    <row r="215" s="103" customFormat="1" ht="15" x14ac:dyDescent="0.25"/>
    <row r="216" s="103" customFormat="1" ht="15" x14ac:dyDescent="0.25"/>
    <row r="217" s="103" customFormat="1" ht="15" x14ac:dyDescent="0.25"/>
    <row r="218" s="103" customFormat="1" ht="15" x14ac:dyDescent="0.25"/>
    <row r="219" s="103" customFormat="1" ht="15" x14ac:dyDescent="0.25"/>
    <row r="220" s="103" customFormat="1" ht="15" x14ac:dyDescent="0.25"/>
    <row r="221" s="103" customFormat="1" ht="15" x14ac:dyDescent="0.25"/>
    <row r="222" s="103" customFormat="1" ht="15" x14ac:dyDescent="0.25"/>
    <row r="223" s="103" customFormat="1" ht="15" x14ac:dyDescent="0.25"/>
    <row r="224" s="103" customFormat="1" ht="15" x14ac:dyDescent="0.25"/>
    <row r="225" s="103" customFormat="1" ht="15" x14ac:dyDescent="0.25"/>
    <row r="226" s="103" customFormat="1" ht="15" x14ac:dyDescent="0.25"/>
    <row r="227" s="103" customFormat="1" ht="15" x14ac:dyDescent="0.25"/>
    <row r="228" s="103" customFormat="1" ht="15" x14ac:dyDescent="0.25"/>
    <row r="229" s="103" customFormat="1" ht="15" x14ac:dyDescent="0.25"/>
    <row r="230" s="103" customFormat="1" ht="15" x14ac:dyDescent="0.25"/>
    <row r="231" s="103" customFormat="1" ht="15" x14ac:dyDescent="0.25"/>
    <row r="232" s="103" customFormat="1" ht="15" x14ac:dyDescent="0.25"/>
    <row r="233" s="103" customFormat="1" ht="15" x14ac:dyDescent="0.25"/>
    <row r="234" s="103" customFormat="1" ht="15" x14ac:dyDescent="0.25"/>
    <row r="235" s="103" customFormat="1" ht="15" x14ac:dyDescent="0.25"/>
    <row r="236" s="103" customFormat="1" ht="15" x14ac:dyDescent="0.25"/>
    <row r="237" s="103" customFormat="1" ht="15" x14ac:dyDescent="0.25"/>
    <row r="238" s="103" customFormat="1" ht="15" x14ac:dyDescent="0.25"/>
    <row r="239" s="103" customFormat="1" ht="15" x14ac:dyDescent="0.25"/>
    <row r="240" s="103" customFormat="1" ht="15" x14ac:dyDescent="0.25"/>
    <row r="241" s="103" customFormat="1" ht="15" x14ac:dyDescent="0.25"/>
    <row r="242" s="103" customFormat="1" ht="15" x14ac:dyDescent="0.25"/>
    <row r="243" s="103" customFormat="1" ht="15" x14ac:dyDescent="0.25"/>
    <row r="244" s="103" customFormat="1" ht="15" x14ac:dyDescent="0.25"/>
    <row r="245" s="103" customFormat="1" ht="15" x14ac:dyDescent="0.25"/>
    <row r="246" s="103" customFormat="1" ht="15" x14ac:dyDescent="0.25"/>
    <row r="247" s="103" customFormat="1" ht="15" x14ac:dyDescent="0.25"/>
    <row r="248" s="103" customFormat="1" ht="15" x14ac:dyDescent="0.25"/>
    <row r="249" s="103" customFormat="1" ht="15" x14ac:dyDescent="0.25"/>
    <row r="250" s="103" customFormat="1" ht="15" x14ac:dyDescent="0.25"/>
    <row r="251" s="103" customFormat="1" ht="15" x14ac:dyDescent="0.25"/>
    <row r="252" s="103" customFormat="1" ht="15" x14ac:dyDescent="0.25"/>
    <row r="253" s="103" customFormat="1" ht="15" x14ac:dyDescent="0.25"/>
    <row r="254" s="103" customFormat="1" ht="15" x14ac:dyDescent="0.25"/>
    <row r="255" s="103" customFormat="1" ht="15" x14ac:dyDescent="0.25"/>
    <row r="256" s="103" customFormat="1" ht="15" x14ac:dyDescent="0.25"/>
    <row r="257" s="103" customFormat="1" ht="15" x14ac:dyDescent="0.25"/>
    <row r="258" s="103" customFormat="1" ht="15" x14ac:dyDescent="0.25"/>
    <row r="259" s="103" customFormat="1" ht="15" x14ac:dyDescent="0.25"/>
    <row r="260" s="103" customFormat="1" ht="15" x14ac:dyDescent="0.25"/>
    <row r="261" s="103" customFormat="1" ht="15" x14ac:dyDescent="0.25"/>
    <row r="262" s="103" customFormat="1" ht="15" x14ac:dyDescent="0.25"/>
    <row r="263" s="103" customFormat="1" ht="15" x14ac:dyDescent="0.25"/>
    <row r="264" s="103" customFormat="1" ht="15" x14ac:dyDescent="0.25"/>
    <row r="265" s="103" customFormat="1" ht="15" x14ac:dyDescent="0.25"/>
    <row r="266" s="103" customFormat="1" ht="15" x14ac:dyDescent="0.25"/>
    <row r="267" s="103" customFormat="1" ht="15" x14ac:dyDescent="0.25"/>
  </sheetData>
  <mergeCells count="8">
    <mergeCell ref="A2:O2"/>
    <mergeCell ref="D46:O50"/>
    <mergeCell ref="C4:K5"/>
    <mergeCell ref="M4:M5"/>
    <mergeCell ref="N4:O5"/>
    <mergeCell ref="B8:B20"/>
    <mergeCell ref="B22:B34"/>
    <mergeCell ref="C6:D6"/>
  </mergeCells>
  <pageMargins left="0.2" right="0.2" top="0.25" bottom="0.25" header="0.05" footer="0.3"/>
  <pageSetup scale="6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B12"/>
  <sheetViews>
    <sheetView workbookViewId="0">
      <selection activeCell="B10" sqref="B10"/>
    </sheetView>
  </sheetViews>
  <sheetFormatPr defaultRowHeight="15" x14ac:dyDescent="0.25"/>
  <cols>
    <col min="1" max="1" width="41.7109375" customWidth="1"/>
    <col min="2" max="2" width="19.140625" customWidth="1"/>
  </cols>
  <sheetData>
    <row r="4" spans="1:2" x14ac:dyDescent="0.25">
      <c r="A4" s="103" t="s">
        <v>72</v>
      </c>
      <c r="B4">
        <v>2.6</v>
      </c>
    </row>
    <row r="5" spans="1:2" x14ac:dyDescent="0.25">
      <c r="B5" s="205"/>
    </row>
    <row r="6" spans="1:2" x14ac:dyDescent="0.25">
      <c r="A6" s="103" t="s">
        <v>71</v>
      </c>
      <c r="B6" s="204">
        <v>29360759</v>
      </c>
    </row>
    <row r="7" spans="1:2" x14ac:dyDescent="0.25">
      <c r="B7" s="103"/>
    </row>
    <row r="8" spans="1:2" x14ac:dyDescent="0.25">
      <c r="A8" s="103" t="s">
        <v>70</v>
      </c>
      <c r="B8" s="203">
        <f>PRODUCT(B6,B4)</f>
        <v>76337973.400000006</v>
      </c>
    </row>
    <row r="10" spans="1:2" x14ac:dyDescent="0.25">
      <c r="A10" s="103" t="s">
        <v>73</v>
      </c>
      <c r="B10" s="221">
        <f>B8*15%</f>
        <v>11450696.01</v>
      </c>
    </row>
    <row r="12" spans="1:2" x14ac:dyDescent="0.25">
      <c r="A12" t="s">
        <v>74</v>
      </c>
      <c r="B12" s="221">
        <f>B8-B10</f>
        <v>64887277.390000008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HTC</vt:lpstr>
      <vt:lpstr>9HTC</vt:lpstr>
      <vt:lpstr>Ceiling and Request Limits</vt:lpstr>
      <vt:lpstr>Calculation</vt:lpstr>
      <vt:lpstr>'Ceiling and Request Limits'!Print_Area</vt:lpstr>
    </vt:vector>
  </TitlesOfParts>
  <Company>TDHCA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DRAFT 2022 Initial Ceiling Summary (XLSX)</dc:title>
  <dc:creator>TDHCA</dc:creator>
  <cp:keywords>DRAFT 2022 Initial Ceiling Summary (XLSX)</cp:keywords>
  <cp:lastModifiedBy>Jason Burr</cp:lastModifiedBy>
  <cp:lastPrinted>2020-12-07T02:24:51Z</cp:lastPrinted>
  <dcterms:created xsi:type="dcterms:W3CDTF">2017-05-16T15:49:01Z</dcterms:created>
  <dcterms:modified xsi:type="dcterms:W3CDTF">2021-12-01T20:11:59Z</dcterms:modified>
  <cp:category>2022 9HTC</cp:category>
</cp:coreProperties>
</file>