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mfmu\2021\2021 Web Updates\"/>
    </mc:Choice>
  </mc:AlternateContent>
  <bookViews>
    <workbookView xWindow="0" yWindow="0" windowWidth="15495" windowHeight="5985" firstSheet="2" activeTab="2"/>
  </bookViews>
  <sheets>
    <sheet name="HTC" sheetId="4" state="hidden" r:id="rId1"/>
    <sheet name="9HTC" sheetId="9" state="hidden" r:id="rId2"/>
    <sheet name="Ceiling and Request Limits" sheetId="7" r:id="rId3"/>
    <sheet name="Change Log" sheetId="10" state="hidden" r:id="rId4"/>
    <sheet name="Sheet1" sheetId="8" state="hidden" r:id="rId5"/>
  </sheets>
  <externalReferences>
    <externalReference r:id="rId6"/>
  </externalReferences>
  <definedNames>
    <definedName name="_xlnm.Print_Area" localSheetId="2">'Ceiling and Request Limits'!$A$5:$Q$57</definedName>
  </definedNames>
  <calcPr calcId="162913"/>
</workbook>
</file>

<file path=xl/calcChain.xml><?xml version="1.0" encoding="utf-8"?>
<calcChain xmlns="http://schemas.openxmlformats.org/spreadsheetml/2006/main">
  <c r="F42" i="7" l="1"/>
  <c r="E42" i="7" l="1"/>
  <c r="Y55" i="7"/>
  <c r="Y54" i="7"/>
  <c r="C19" i="8" l="1"/>
  <c r="C25" i="8" s="1"/>
  <c r="G44" i="7"/>
  <c r="G43" i="7"/>
  <c r="G37" i="7"/>
  <c r="G36" i="7"/>
  <c r="G35" i="7"/>
  <c r="G34" i="7"/>
  <c r="G33" i="7"/>
  <c r="G32" i="7"/>
  <c r="G31" i="7"/>
  <c r="G30" i="7"/>
  <c r="G29" i="7"/>
  <c r="G28" i="7"/>
  <c r="G27" i="7"/>
  <c r="G26" i="7"/>
  <c r="G25" i="7"/>
  <c r="G23" i="7"/>
  <c r="G22" i="7"/>
  <c r="G21" i="7"/>
  <c r="G20" i="7"/>
  <c r="G19" i="7"/>
  <c r="G18" i="7"/>
  <c r="G17" i="7"/>
  <c r="G16" i="7"/>
  <c r="G15" i="7"/>
  <c r="G14" i="7"/>
  <c r="G13" i="7"/>
  <c r="G12" i="7"/>
  <c r="G11" i="7"/>
  <c r="F39" i="7"/>
  <c r="F45" i="7"/>
  <c r="G45" i="7" s="1"/>
  <c r="F40" i="7"/>
  <c r="C24" i="8" l="1"/>
  <c r="G40" i="7"/>
  <c r="G39" i="7"/>
  <c r="G42" i="7" s="1"/>
  <c r="G29" i="9" l="1"/>
  <c r="M29" i="9" s="1"/>
  <c r="F29" i="9"/>
  <c r="E29" i="9"/>
  <c r="D29" i="9"/>
  <c r="J29" i="9" s="1"/>
  <c r="C29" i="9"/>
  <c r="G28" i="9"/>
  <c r="M28" i="9" s="1"/>
  <c r="F28" i="9"/>
  <c r="E28" i="9"/>
  <c r="J28" i="9" s="1"/>
  <c r="D28" i="9"/>
  <c r="C28" i="9"/>
  <c r="G27" i="9"/>
  <c r="M27" i="9" s="1"/>
  <c r="F27" i="9"/>
  <c r="E27" i="9"/>
  <c r="D27" i="9"/>
  <c r="J27" i="9" s="1"/>
  <c r="C27" i="9"/>
  <c r="G26" i="9"/>
  <c r="M26" i="9" s="1"/>
  <c r="F26" i="9"/>
  <c r="E26" i="9"/>
  <c r="J26" i="9" s="1"/>
  <c r="D26" i="9"/>
  <c r="C26" i="9"/>
  <c r="G25" i="9"/>
  <c r="M25" i="9" s="1"/>
  <c r="F25" i="9"/>
  <c r="E25" i="9"/>
  <c r="D25" i="9"/>
  <c r="J25" i="9" s="1"/>
  <c r="C25" i="9"/>
  <c r="G24" i="9"/>
  <c r="M24" i="9" s="1"/>
  <c r="F24" i="9"/>
  <c r="E24" i="9"/>
  <c r="J24" i="9" s="1"/>
  <c r="D24" i="9"/>
  <c r="C24" i="9"/>
  <c r="G23" i="9"/>
  <c r="M23" i="9" s="1"/>
  <c r="F23" i="9"/>
  <c r="E23" i="9"/>
  <c r="D23" i="9"/>
  <c r="J23" i="9" s="1"/>
  <c r="C23" i="9"/>
  <c r="G22" i="9"/>
  <c r="M22" i="9" s="1"/>
  <c r="F22" i="9"/>
  <c r="E22" i="9"/>
  <c r="J22" i="9" s="1"/>
  <c r="D22" i="9"/>
  <c r="C22" i="9"/>
  <c r="G21" i="9"/>
  <c r="M21" i="9" s="1"/>
  <c r="F21" i="9"/>
  <c r="E21" i="9"/>
  <c r="D21" i="9"/>
  <c r="J21" i="9" s="1"/>
  <c r="C21" i="9"/>
  <c r="G20" i="9"/>
  <c r="M20" i="9" s="1"/>
  <c r="F20" i="9"/>
  <c r="E20" i="9"/>
  <c r="J20" i="9" s="1"/>
  <c r="D20" i="9"/>
  <c r="C20" i="9"/>
  <c r="M19" i="9"/>
  <c r="G19" i="9"/>
  <c r="F19" i="9"/>
  <c r="E19" i="9"/>
  <c r="D19" i="9"/>
  <c r="J19" i="9" s="1"/>
  <c r="C19" i="9"/>
  <c r="G18" i="9"/>
  <c r="M18" i="9" s="1"/>
  <c r="F18" i="9"/>
  <c r="E18" i="9"/>
  <c r="J18" i="9" s="1"/>
  <c r="D18" i="9"/>
  <c r="C18" i="9"/>
  <c r="G17" i="9"/>
  <c r="G30" i="9" s="1"/>
  <c r="F17" i="9"/>
  <c r="F30" i="9" s="1"/>
  <c r="E17" i="9"/>
  <c r="E30" i="9" s="1"/>
  <c r="D17" i="9"/>
  <c r="D30" i="9" s="1"/>
  <c r="C17" i="9"/>
  <c r="C30" i="9" s="1"/>
  <c r="G15" i="9"/>
  <c r="M15" i="9" s="1"/>
  <c r="F15" i="9"/>
  <c r="E15" i="9"/>
  <c r="J15" i="9" s="1"/>
  <c r="D15" i="9"/>
  <c r="C15" i="9"/>
  <c r="G14" i="9"/>
  <c r="M14" i="9" s="1"/>
  <c r="F14" i="9"/>
  <c r="E14" i="9"/>
  <c r="C14" i="9"/>
  <c r="D14" i="9" s="1"/>
  <c r="J14" i="9" s="1"/>
  <c r="M13" i="9"/>
  <c r="G13" i="9"/>
  <c r="F13" i="9"/>
  <c r="E13" i="9"/>
  <c r="D13" i="9"/>
  <c r="J13" i="9" s="1"/>
  <c r="C13" i="9"/>
  <c r="M12" i="9"/>
  <c r="G12" i="9"/>
  <c r="F12" i="9"/>
  <c r="E12" i="9"/>
  <c r="C12" i="9"/>
  <c r="D12" i="9" s="1"/>
  <c r="J12" i="9" s="1"/>
  <c r="G11" i="9"/>
  <c r="M11" i="9" s="1"/>
  <c r="F11" i="9"/>
  <c r="E11" i="9"/>
  <c r="J11" i="9" s="1"/>
  <c r="D11" i="9"/>
  <c r="C11" i="9"/>
  <c r="G10" i="9"/>
  <c r="M10" i="9" s="1"/>
  <c r="F10" i="9"/>
  <c r="E10" i="9"/>
  <c r="C10" i="9"/>
  <c r="D10" i="9" s="1"/>
  <c r="J10" i="9" s="1"/>
  <c r="G9" i="9"/>
  <c r="M9" i="9" s="1"/>
  <c r="F9" i="9"/>
  <c r="E9" i="9"/>
  <c r="D9" i="9"/>
  <c r="J9" i="9" s="1"/>
  <c r="C9" i="9"/>
  <c r="M8" i="9"/>
  <c r="G8" i="9"/>
  <c r="F8" i="9"/>
  <c r="E8" i="9"/>
  <c r="C8" i="9"/>
  <c r="D8" i="9" s="1"/>
  <c r="J8" i="9" s="1"/>
  <c r="G7" i="9"/>
  <c r="M7" i="9" s="1"/>
  <c r="F7" i="9"/>
  <c r="E7" i="9"/>
  <c r="J7" i="9" s="1"/>
  <c r="D7" i="9"/>
  <c r="C7" i="9"/>
  <c r="G6" i="9"/>
  <c r="M6" i="9" s="1"/>
  <c r="F6" i="9"/>
  <c r="E6" i="9"/>
  <c r="C6" i="9"/>
  <c r="D6" i="9" s="1"/>
  <c r="J6" i="9" s="1"/>
  <c r="M5" i="9"/>
  <c r="G5" i="9"/>
  <c r="F5" i="9"/>
  <c r="E5" i="9"/>
  <c r="D5" i="9"/>
  <c r="J5" i="9" s="1"/>
  <c r="C5" i="9"/>
  <c r="M4" i="9"/>
  <c r="G4" i="9"/>
  <c r="F4" i="9"/>
  <c r="E4" i="9"/>
  <c r="C4" i="9"/>
  <c r="D4" i="9" s="1"/>
  <c r="J4" i="9" s="1"/>
  <c r="G3" i="9"/>
  <c r="G16" i="9" s="1"/>
  <c r="G31" i="9" s="1"/>
  <c r="F3" i="9"/>
  <c r="F16" i="9" s="1"/>
  <c r="F31" i="9" s="1"/>
  <c r="E3" i="9"/>
  <c r="J3" i="9" s="1"/>
  <c r="D3" i="9"/>
  <c r="C3" i="9"/>
  <c r="J16" i="9" l="1"/>
  <c r="J31" i="9"/>
  <c r="K25" i="9" s="1"/>
  <c r="L25" i="9" s="1"/>
  <c r="K3" i="9"/>
  <c r="K6" i="9"/>
  <c r="L6" i="9" s="1"/>
  <c r="D16" i="9"/>
  <c r="D31" i="9" s="1"/>
  <c r="K5" i="9"/>
  <c r="L5" i="9" s="1"/>
  <c r="M3" i="9"/>
  <c r="E16" i="9"/>
  <c r="E31" i="9" s="1"/>
  <c r="C16" i="9"/>
  <c r="C31" i="9" s="1"/>
  <c r="J17" i="9"/>
  <c r="M17" i="9"/>
  <c r="E60" i="7"/>
  <c r="C9" i="8"/>
  <c r="K7" i="9" l="1"/>
  <c r="L7" i="9" s="1"/>
  <c r="M31" i="9"/>
  <c r="N3" i="9" s="1"/>
  <c r="M16" i="9"/>
  <c r="K29" i="9"/>
  <c r="L29" i="9" s="1"/>
  <c r="K8" i="9"/>
  <c r="L8" i="9" s="1"/>
  <c r="K11" i="9"/>
  <c r="L11" i="9" s="1"/>
  <c r="K27" i="9"/>
  <c r="L27" i="9" s="1"/>
  <c r="K26" i="9"/>
  <c r="L26" i="9" s="1"/>
  <c r="K10" i="9"/>
  <c r="L10" i="9" s="1"/>
  <c r="K23" i="9"/>
  <c r="L23" i="9" s="1"/>
  <c r="L3" i="9"/>
  <c r="K18" i="9"/>
  <c r="L18" i="9" s="1"/>
  <c r="K28" i="9"/>
  <c r="L28" i="9" s="1"/>
  <c r="K9" i="9"/>
  <c r="L9" i="9" s="1"/>
  <c r="K20" i="9"/>
  <c r="L20" i="9" s="1"/>
  <c r="K24" i="9"/>
  <c r="L24" i="9" s="1"/>
  <c r="K21" i="9"/>
  <c r="L21" i="9" s="1"/>
  <c r="K15" i="9"/>
  <c r="L15" i="9" s="1"/>
  <c r="K22" i="9"/>
  <c r="L22" i="9" s="1"/>
  <c r="K13" i="9"/>
  <c r="L13" i="9" s="1"/>
  <c r="K19" i="9"/>
  <c r="L19" i="9" s="1"/>
  <c r="N17" i="9"/>
  <c r="M30" i="9"/>
  <c r="K4" i="9"/>
  <c r="L4" i="9" s="1"/>
  <c r="J30" i="9"/>
  <c r="K17" i="9"/>
  <c r="K12" i="9"/>
  <c r="L12" i="9" s="1"/>
  <c r="K14" i="9"/>
  <c r="L14" i="9" s="1"/>
  <c r="I11" i="7"/>
  <c r="I12" i="7"/>
  <c r="I13" i="7"/>
  <c r="I14" i="7"/>
  <c r="I15" i="7"/>
  <c r="I16" i="7"/>
  <c r="I17" i="7"/>
  <c r="I18" i="7"/>
  <c r="I19" i="7"/>
  <c r="I20" i="7"/>
  <c r="I21" i="7"/>
  <c r="I22" i="7"/>
  <c r="I23" i="7"/>
  <c r="I25" i="7"/>
  <c r="I26" i="7"/>
  <c r="I27" i="7"/>
  <c r="I28" i="7"/>
  <c r="I29" i="7"/>
  <c r="I30" i="7"/>
  <c r="I31" i="7"/>
  <c r="I32" i="7"/>
  <c r="I33" i="7"/>
  <c r="I34" i="7"/>
  <c r="I35" i="7"/>
  <c r="I36" i="7"/>
  <c r="I37" i="7"/>
  <c r="H11" i="7"/>
  <c r="H12" i="7"/>
  <c r="H13" i="7"/>
  <c r="H14" i="7"/>
  <c r="H15" i="7"/>
  <c r="H16" i="7"/>
  <c r="H17" i="7"/>
  <c r="H18" i="7"/>
  <c r="H19" i="7"/>
  <c r="H20" i="7"/>
  <c r="H21" i="7"/>
  <c r="H22" i="7"/>
  <c r="H23" i="7"/>
  <c r="H25" i="7"/>
  <c r="H26" i="7"/>
  <c r="K26" i="7" s="1"/>
  <c r="L26" i="7" s="1"/>
  <c r="O26" i="7" s="1"/>
  <c r="H27" i="7"/>
  <c r="H28" i="7"/>
  <c r="H29" i="7"/>
  <c r="H30" i="7"/>
  <c r="K30" i="7" s="1"/>
  <c r="L30" i="7" s="1"/>
  <c r="H31" i="7"/>
  <c r="H32" i="7"/>
  <c r="H33" i="7"/>
  <c r="K33" i="7" s="1"/>
  <c r="L33" i="7" s="1"/>
  <c r="M33" i="7" s="1"/>
  <c r="H34" i="7"/>
  <c r="H35" i="7"/>
  <c r="H36" i="7"/>
  <c r="K36" i="7" s="1"/>
  <c r="L36" i="7" s="1"/>
  <c r="H37" i="7"/>
  <c r="K37" i="7" s="1"/>
  <c r="L37" i="7" s="1"/>
  <c r="R24" i="7"/>
  <c r="K31" i="7"/>
  <c r="L31" i="7" s="1"/>
  <c r="D16" i="4"/>
  <c r="J17" i="4"/>
  <c r="J3" i="4"/>
  <c r="J4" i="4"/>
  <c r="J5" i="4"/>
  <c r="J6" i="4"/>
  <c r="J7" i="4"/>
  <c r="J8" i="4"/>
  <c r="J9" i="4"/>
  <c r="J10" i="4"/>
  <c r="J11" i="4"/>
  <c r="J12" i="4"/>
  <c r="J13" i="4"/>
  <c r="J14" i="4"/>
  <c r="J15" i="4"/>
  <c r="J18" i="4"/>
  <c r="J19" i="4"/>
  <c r="J20" i="4"/>
  <c r="J21" i="4"/>
  <c r="J22" i="4"/>
  <c r="J23" i="4"/>
  <c r="J24" i="4"/>
  <c r="J25" i="4"/>
  <c r="J26" i="4"/>
  <c r="J27" i="4"/>
  <c r="J28" i="4"/>
  <c r="J29" i="4"/>
  <c r="M17" i="4"/>
  <c r="M3" i="4"/>
  <c r="M4" i="4"/>
  <c r="M5" i="4"/>
  <c r="M6" i="4"/>
  <c r="M7" i="4"/>
  <c r="M8" i="4"/>
  <c r="M9" i="4"/>
  <c r="M10" i="4"/>
  <c r="M11" i="4"/>
  <c r="M12" i="4"/>
  <c r="M13" i="4"/>
  <c r="M14" i="4"/>
  <c r="M15" i="4"/>
  <c r="M18" i="4"/>
  <c r="M19" i="4"/>
  <c r="M20" i="4"/>
  <c r="M21" i="4"/>
  <c r="M22" i="4"/>
  <c r="M23" i="4"/>
  <c r="M24" i="4"/>
  <c r="M25" i="4"/>
  <c r="M26" i="4"/>
  <c r="M27" i="4"/>
  <c r="M28" i="4"/>
  <c r="M29" i="4"/>
  <c r="G16" i="4"/>
  <c r="G30" i="4"/>
  <c r="G31" i="4"/>
  <c r="F16" i="4"/>
  <c r="F30" i="4"/>
  <c r="E16" i="4"/>
  <c r="E30" i="4"/>
  <c r="D30" i="4"/>
  <c r="C16" i="4"/>
  <c r="C30" i="4"/>
  <c r="L43" i="7"/>
  <c r="L44" i="7"/>
  <c r="M44" i="7" s="1"/>
  <c r="E39" i="7"/>
  <c r="E40" i="7"/>
  <c r="J37" i="7"/>
  <c r="J36" i="7"/>
  <c r="J33" i="7"/>
  <c r="J31" i="7"/>
  <c r="J30" i="7"/>
  <c r="J26" i="7"/>
  <c r="O3" i="9" l="1"/>
  <c r="K31" i="9"/>
  <c r="O17" i="9"/>
  <c r="L17" i="9"/>
  <c r="K30" i="9"/>
  <c r="L16" i="9"/>
  <c r="L31" i="9"/>
  <c r="K16" i="9"/>
  <c r="N19" i="9"/>
  <c r="O19" i="9" s="1"/>
  <c r="P19" i="9" s="1"/>
  <c r="N13" i="9"/>
  <c r="O13" i="9" s="1"/>
  <c r="P13" i="9" s="1"/>
  <c r="N5" i="9"/>
  <c r="O5" i="9" s="1"/>
  <c r="P5" i="9" s="1"/>
  <c r="N7" i="9"/>
  <c r="O7" i="9" s="1"/>
  <c r="P7" i="9" s="1"/>
  <c r="N20" i="9"/>
  <c r="O20" i="9" s="1"/>
  <c r="P20" i="9" s="1"/>
  <c r="N24" i="9"/>
  <c r="O24" i="9" s="1"/>
  <c r="P24" i="9" s="1"/>
  <c r="N4" i="9"/>
  <c r="O4" i="9" s="1"/>
  <c r="P4" i="9" s="1"/>
  <c r="N18" i="9"/>
  <c r="O18" i="9" s="1"/>
  <c r="P18" i="9" s="1"/>
  <c r="N22" i="9"/>
  <c r="O22" i="9" s="1"/>
  <c r="N12" i="9"/>
  <c r="O12" i="9" s="1"/>
  <c r="P12" i="9" s="1"/>
  <c r="N6" i="9"/>
  <c r="O6" i="9" s="1"/>
  <c r="P6" i="9" s="1"/>
  <c r="N27" i="9"/>
  <c r="O27" i="9" s="1"/>
  <c r="P27" i="9" s="1"/>
  <c r="N21" i="9"/>
  <c r="O21" i="9" s="1"/>
  <c r="P21" i="9" s="1"/>
  <c r="N9" i="9"/>
  <c r="O9" i="9" s="1"/>
  <c r="P9" i="9" s="1"/>
  <c r="N14" i="9"/>
  <c r="O14" i="9" s="1"/>
  <c r="P14" i="9" s="1"/>
  <c r="N26" i="9"/>
  <c r="O26" i="9" s="1"/>
  <c r="P26" i="9" s="1"/>
  <c r="N8" i="9"/>
  <c r="O8" i="9" s="1"/>
  <c r="P8" i="9" s="1"/>
  <c r="N11" i="9"/>
  <c r="O11" i="9" s="1"/>
  <c r="P11" i="9" s="1"/>
  <c r="N28" i="9"/>
  <c r="O28" i="9" s="1"/>
  <c r="P28" i="9" s="1"/>
  <c r="N10" i="9"/>
  <c r="O10" i="9" s="1"/>
  <c r="P10" i="9" s="1"/>
  <c r="N29" i="9"/>
  <c r="O29" i="9" s="1"/>
  <c r="P29" i="9" s="1"/>
  <c r="N25" i="9"/>
  <c r="O25" i="9" s="1"/>
  <c r="P25" i="9" s="1"/>
  <c r="N23" i="9"/>
  <c r="O23" i="9" s="1"/>
  <c r="P23" i="9" s="1"/>
  <c r="N15" i="9"/>
  <c r="O15" i="9" s="1"/>
  <c r="P15" i="9" s="1"/>
  <c r="P22" i="9"/>
  <c r="H40" i="7"/>
  <c r="I40" i="7"/>
  <c r="I39" i="7"/>
  <c r="H39" i="7"/>
  <c r="M30" i="4"/>
  <c r="M16" i="4"/>
  <c r="M31" i="4"/>
  <c r="N19" i="4" s="1"/>
  <c r="O19" i="4" s="1"/>
  <c r="F31" i="4"/>
  <c r="E31" i="4"/>
  <c r="J30" i="4"/>
  <c r="D31" i="4"/>
  <c r="J16" i="4"/>
  <c r="J31" i="4"/>
  <c r="K20" i="4" s="1"/>
  <c r="L20" i="4" s="1"/>
  <c r="C31" i="4"/>
  <c r="R26" i="7"/>
  <c r="M26" i="7"/>
  <c r="M36" i="7"/>
  <c r="R36" i="7"/>
  <c r="R31" i="7"/>
  <c r="M31" i="7"/>
  <c r="R30" i="7"/>
  <c r="M30" i="7"/>
  <c r="R37" i="7"/>
  <c r="M37" i="7"/>
  <c r="R33" i="7"/>
  <c r="M43" i="7"/>
  <c r="T10" i="9" l="1"/>
  <c r="T27" i="9"/>
  <c r="T7" i="9"/>
  <c r="T28" i="9"/>
  <c r="T11" i="9"/>
  <c r="T29" i="9"/>
  <c r="T15" i="9"/>
  <c r="T26" i="9"/>
  <c r="T18" i="9"/>
  <c r="T23" i="9"/>
  <c r="T14" i="9"/>
  <c r="T4" i="9"/>
  <c r="T9" i="9"/>
  <c r="T24" i="9"/>
  <c r="T12" i="9"/>
  <c r="O16" i="9"/>
  <c r="O31" i="9"/>
  <c r="T21" i="9"/>
  <c r="N31" i="9"/>
  <c r="T25" i="9"/>
  <c r="T8" i="9"/>
  <c r="N16" i="9"/>
  <c r="T22" i="9"/>
  <c r="P3" i="9"/>
  <c r="T20" i="9"/>
  <c r="T13" i="9"/>
  <c r="T6" i="9"/>
  <c r="T5" i="9"/>
  <c r="O30" i="9"/>
  <c r="N30" i="9"/>
  <c r="T19" i="9"/>
  <c r="L30" i="9"/>
  <c r="P17" i="9"/>
  <c r="I42" i="7"/>
  <c r="J19" i="7" s="1"/>
  <c r="H42" i="7"/>
  <c r="N14" i="4"/>
  <c r="O14" i="4" s="1"/>
  <c r="N7" i="4"/>
  <c r="O7" i="4" s="1"/>
  <c r="N10" i="4"/>
  <c r="O10" i="4" s="1"/>
  <c r="N28" i="4"/>
  <c r="O28" i="4" s="1"/>
  <c r="N8" i="4"/>
  <c r="O8" i="4" s="1"/>
  <c r="N5" i="4"/>
  <c r="O5" i="4" s="1"/>
  <c r="N26" i="4"/>
  <c r="O26" i="4" s="1"/>
  <c r="N12" i="4"/>
  <c r="O12" i="4" s="1"/>
  <c r="N29" i="4"/>
  <c r="O29" i="4" s="1"/>
  <c r="N11" i="4"/>
  <c r="O11" i="4" s="1"/>
  <c r="N4" i="4"/>
  <c r="O4" i="4" s="1"/>
  <c r="N22" i="4"/>
  <c r="O22" i="4" s="1"/>
  <c r="N17" i="4"/>
  <c r="O17" i="4" s="1"/>
  <c r="N13" i="4"/>
  <c r="O13" i="4" s="1"/>
  <c r="N23" i="4"/>
  <c r="O23" i="4" s="1"/>
  <c r="N24" i="4"/>
  <c r="O24" i="4" s="1"/>
  <c r="N6" i="4"/>
  <c r="O6" i="4" s="1"/>
  <c r="N20" i="4"/>
  <c r="O20" i="4" s="1"/>
  <c r="P20" i="4" s="1"/>
  <c r="T20" i="4" s="1"/>
  <c r="U20" i="4" s="1"/>
  <c r="N25" i="4"/>
  <c r="O25" i="4" s="1"/>
  <c r="N21" i="4"/>
  <c r="O21" i="4" s="1"/>
  <c r="N27" i="4"/>
  <c r="O27" i="4" s="1"/>
  <c r="N3" i="4"/>
  <c r="N18" i="4"/>
  <c r="O18" i="4" s="1"/>
  <c r="N15" i="4"/>
  <c r="O15" i="4" s="1"/>
  <c r="N9" i="4"/>
  <c r="O9" i="4" s="1"/>
  <c r="K29" i="4"/>
  <c r="L29" i="4" s="1"/>
  <c r="K5" i="4"/>
  <c r="L5" i="4" s="1"/>
  <c r="K10" i="4"/>
  <c r="L10" i="4" s="1"/>
  <c r="K3" i="4"/>
  <c r="L3" i="4" s="1"/>
  <c r="K28" i="4"/>
  <c r="L28" i="4" s="1"/>
  <c r="K27" i="4"/>
  <c r="L27" i="4" s="1"/>
  <c r="K15" i="4"/>
  <c r="L15" i="4" s="1"/>
  <c r="K14" i="4"/>
  <c r="L14" i="4" s="1"/>
  <c r="K25" i="4"/>
  <c r="L25" i="4" s="1"/>
  <c r="K17" i="4"/>
  <c r="L17" i="4" s="1"/>
  <c r="K23" i="4"/>
  <c r="L23" i="4" s="1"/>
  <c r="K6" i="4"/>
  <c r="L6" i="4" s="1"/>
  <c r="K4" i="4"/>
  <c r="L4" i="4" s="1"/>
  <c r="K9" i="4"/>
  <c r="L9" i="4" s="1"/>
  <c r="K22" i="4"/>
  <c r="L22" i="4" s="1"/>
  <c r="K24" i="4"/>
  <c r="L24" i="4" s="1"/>
  <c r="K12" i="4"/>
  <c r="L12" i="4" s="1"/>
  <c r="K13" i="4"/>
  <c r="L13" i="4" s="1"/>
  <c r="K19" i="4"/>
  <c r="L19" i="4" s="1"/>
  <c r="P19" i="4" s="1"/>
  <c r="T19" i="4" s="1"/>
  <c r="U19" i="4" s="1"/>
  <c r="K11" i="4"/>
  <c r="L11" i="4" s="1"/>
  <c r="K21" i="4"/>
  <c r="L21" i="4" s="1"/>
  <c r="K26" i="4"/>
  <c r="L26" i="4" s="1"/>
  <c r="K8" i="4"/>
  <c r="L8" i="4" s="1"/>
  <c r="K7" i="4"/>
  <c r="L7" i="4" s="1"/>
  <c r="K18" i="4"/>
  <c r="L18" i="4" s="1"/>
  <c r="V6" i="9" l="1"/>
  <c r="U6" i="9"/>
  <c r="V4" i="9"/>
  <c r="U4" i="9"/>
  <c r="V28" i="9"/>
  <c r="U28" i="9"/>
  <c r="X28" i="9" s="1"/>
  <c r="Y28" i="9" s="1"/>
  <c r="W28" i="9"/>
  <c r="V19" i="9"/>
  <c r="U19" i="9"/>
  <c r="V13" i="9"/>
  <c r="U13" i="9"/>
  <c r="V8" i="9"/>
  <c r="U8" i="9"/>
  <c r="V12" i="9"/>
  <c r="U12" i="9"/>
  <c r="V14" i="9"/>
  <c r="U14" i="9"/>
  <c r="V15" i="9"/>
  <c r="U15" i="9"/>
  <c r="V7" i="9"/>
  <c r="U7" i="9"/>
  <c r="V26" i="9"/>
  <c r="U26" i="9"/>
  <c r="V20" i="9"/>
  <c r="U20" i="9"/>
  <c r="W25" i="9"/>
  <c r="V25" i="9"/>
  <c r="U25" i="9"/>
  <c r="X25" i="9" s="1"/>
  <c r="Y25" i="9" s="1"/>
  <c r="P31" i="9"/>
  <c r="Q3" i="9" s="1"/>
  <c r="T3" i="9"/>
  <c r="P16" i="9"/>
  <c r="V24" i="9"/>
  <c r="U24" i="9"/>
  <c r="W23" i="9"/>
  <c r="V23" i="9"/>
  <c r="U23" i="9"/>
  <c r="X23" i="9" s="1"/>
  <c r="Y23" i="9" s="1"/>
  <c r="X29" i="9"/>
  <c r="Y29" i="9"/>
  <c r="W29" i="9"/>
  <c r="V29" i="9"/>
  <c r="U29" i="9"/>
  <c r="V27" i="9"/>
  <c r="U27" i="9"/>
  <c r="V5" i="9"/>
  <c r="U5" i="9"/>
  <c r="P30" i="9"/>
  <c r="Q30" i="9" s="1"/>
  <c r="T17" i="9"/>
  <c r="V22" i="9"/>
  <c r="U22" i="9"/>
  <c r="X22" i="9" s="1"/>
  <c r="Y22" i="9" s="1"/>
  <c r="W22" i="9"/>
  <c r="V21" i="9"/>
  <c r="U21" i="9"/>
  <c r="V9" i="9"/>
  <c r="U9" i="9"/>
  <c r="V18" i="9"/>
  <c r="U18" i="9"/>
  <c r="X18" i="9" s="1"/>
  <c r="Y18" i="9" s="1"/>
  <c r="W18" i="9"/>
  <c r="V11" i="9"/>
  <c r="U11" i="9"/>
  <c r="V10" i="9"/>
  <c r="U10" i="9"/>
  <c r="K19" i="7"/>
  <c r="L19" i="7" s="1"/>
  <c r="R19" i="7" s="1"/>
  <c r="J20" i="7"/>
  <c r="K20" i="7" s="1"/>
  <c r="L20" i="7" s="1"/>
  <c r="M20" i="7" s="1"/>
  <c r="J34" i="7"/>
  <c r="K34" i="7" s="1"/>
  <c r="L34" i="7" s="1"/>
  <c r="J21" i="7"/>
  <c r="K21" i="7" s="1"/>
  <c r="L21" i="7" s="1"/>
  <c r="M21" i="7" s="1"/>
  <c r="J12" i="7"/>
  <c r="K12" i="7" s="1"/>
  <c r="L12" i="7" s="1"/>
  <c r="J13" i="7"/>
  <c r="K13" i="7" s="1"/>
  <c r="L13" i="7" s="1"/>
  <c r="M13" i="7" s="1"/>
  <c r="J18" i="7"/>
  <c r="K18" i="7" s="1"/>
  <c r="L18" i="7" s="1"/>
  <c r="R18" i="7" s="1"/>
  <c r="J35" i="7"/>
  <c r="K35" i="7" s="1"/>
  <c r="L35" i="7" s="1"/>
  <c r="J15" i="7"/>
  <c r="K15" i="7" s="1"/>
  <c r="L15" i="7" s="1"/>
  <c r="J22" i="7"/>
  <c r="K22" i="7" s="1"/>
  <c r="L22" i="7" s="1"/>
  <c r="J32" i="7"/>
  <c r="K32" i="7" s="1"/>
  <c r="L32" i="7" s="1"/>
  <c r="J14" i="7"/>
  <c r="K14" i="7" s="1"/>
  <c r="L14" i="7" s="1"/>
  <c r="M14" i="7" s="1"/>
  <c r="J17" i="7"/>
  <c r="K17" i="7" s="1"/>
  <c r="L17" i="7" s="1"/>
  <c r="R17" i="7" s="1"/>
  <c r="J27" i="7"/>
  <c r="K27" i="7" s="1"/>
  <c r="L27" i="7" s="1"/>
  <c r="J25" i="7"/>
  <c r="K25" i="7" s="1"/>
  <c r="L25" i="7" s="1"/>
  <c r="J23" i="7"/>
  <c r="K23" i="7" s="1"/>
  <c r="L23" i="7" s="1"/>
  <c r="R23" i="7" s="1"/>
  <c r="J16" i="7"/>
  <c r="K16" i="7" s="1"/>
  <c r="L16" i="7" s="1"/>
  <c r="M16" i="7" s="1"/>
  <c r="J11" i="7"/>
  <c r="K11" i="7" s="1"/>
  <c r="L11" i="7" s="1"/>
  <c r="M11" i="7" s="1"/>
  <c r="J29" i="7"/>
  <c r="K29" i="7" s="1"/>
  <c r="L29" i="7" s="1"/>
  <c r="M29" i="7" s="1"/>
  <c r="J28" i="7"/>
  <c r="K28" i="7" s="1"/>
  <c r="L28" i="7" s="1"/>
  <c r="M28" i="7" s="1"/>
  <c r="P21" i="4"/>
  <c r="T21" i="4" s="1"/>
  <c r="V21" i="4" s="1"/>
  <c r="P4" i="4"/>
  <c r="T4" i="4" s="1"/>
  <c r="V4" i="4" s="1"/>
  <c r="P28" i="4"/>
  <c r="T28" i="4" s="1"/>
  <c r="V28" i="4" s="1"/>
  <c r="P10" i="4"/>
  <c r="T10" i="4" s="1"/>
  <c r="V10" i="4" s="1"/>
  <c r="P11" i="4"/>
  <c r="T11" i="4" s="1"/>
  <c r="U11" i="4" s="1"/>
  <c r="P25" i="4"/>
  <c r="T25" i="4" s="1"/>
  <c r="W25" i="4" s="1"/>
  <c r="P7" i="4"/>
  <c r="T7" i="4" s="1"/>
  <c r="U7" i="4" s="1"/>
  <c r="P22" i="4"/>
  <c r="T22" i="4" s="1"/>
  <c r="W22" i="4" s="1"/>
  <c r="P18" i="4"/>
  <c r="T18" i="4" s="1"/>
  <c r="W18" i="4" s="1"/>
  <c r="N31" i="4"/>
  <c r="P5" i="4"/>
  <c r="T5" i="4" s="1"/>
  <c r="U5" i="4" s="1"/>
  <c r="N30" i="4"/>
  <c r="P23" i="4"/>
  <c r="T23" i="4" s="1"/>
  <c r="U23" i="4" s="1"/>
  <c r="O30" i="4"/>
  <c r="P15" i="4"/>
  <c r="T15" i="4" s="1"/>
  <c r="U15" i="4" s="1"/>
  <c r="P13" i="4"/>
  <c r="T13" i="4" s="1"/>
  <c r="U13" i="4" s="1"/>
  <c r="P12" i="4"/>
  <c r="T12" i="4" s="1"/>
  <c r="U12" i="4" s="1"/>
  <c r="P8" i="4"/>
  <c r="T8" i="4" s="1"/>
  <c r="U8" i="4" s="1"/>
  <c r="P26" i="4"/>
  <c r="T26" i="4" s="1"/>
  <c r="U26" i="4" s="1"/>
  <c r="P27" i="4"/>
  <c r="T27" i="4" s="1"/>
  <c r="V27" i="4" s="1"/>
  <c r="P29" i="4"/>
  <c r="T29" i="4" s="1"/>
  <c r="U29" i="4" s="1"/>
  <c r="X29" i="4" s="1"/>
  <c r="Y29" i="4" s="1"/>
  <c r="P24" i="4"/>
  <c r="T24" i="4" s="1"/>
  <c r="U24" i="4" s="1"/>
  <c r="P14" i="4"/>
  <c r="T14" i="4" s="1"/>
  <c r="V14" i="4" s="1"/>
  <c r="P9" i="4"/>
  <c r="T9" i="4" s="1"/>
  <c r="U9" i="4" s="1"/>
  <c r="N16" i="4"/>
  <c r="O3" i="4"/>
  <c r="O16" i="4" s="1"/>
  <c r="P6" i="4"/>
  <c r="T6" i="4" s="1"/>
  <c r="U6" i="4" s="1"/>
  <c r="V20" i="4"/>
  <c r="V19" i="4"/>
  <c r="U28" i="4"/>
  <c r="X28" i="4" s="1"/>
  <c r="Y28" i="4" s="1"/>
  <c r="V25" i="4"/>
  <c r="K31" i="4"/>
  <c r="U4" i="4"/>
  <c r="K30" i="4"/>
  <c r="K16" i="4"/>
  <c r="L31" i="4"/>
  <c r="L16" i="4"/>
  <c r="P17" i="4"/>
  <c r="L30" i="4"/>
  <c r="R15" i="7" l="1"/>
  <c r="O15" i="7"/>
  <c r="R25" i="7"/>
  <c r="O25" i="7"/>
  <c r="R27" i="7"/>
  <c r="O27" i="7"/>
  <c r="M12" i="7"/>
  <c r="O12" i="7"/>
  <c r="M32" i="7"/>
  <c r="O32" i="7"/>
  <c r="R34" i="7"/>
  <c r="O34" i="7"/>
  <c r="R22" i="7"/>
  <c r="O22" i="7"/>
  <c r="Q17" i="9"/>
  <c r="T30" i="9"/>
  <c r="V17" i="9"/>
  <c r="U17" i="9"/>
  <c r="Q16" i="9"/>
  <c r="V3" i="9"/>
  <c r="V16" i="9" s="1"/>
  <c r="U3" i="9"/>
  <c r="U16" i="9" s="1"/>
  <c r="T16" i="9"/>
  <c r="T31" i="9" s="1"/>
  <c r="Q31" i="9"/>
  <c r="Q6" i="9"/>
  <c r="Q10" i="9"/>
  <c r="Q11" i="9"/>
  <c r="Q18" i="9"/>
  <c r="Q9" i="9"/>
  <c r="Q21" i="9"/>
  <c r="Q22" i="9"/>
  <c r="Q5" i="9"/>
  <c r="Q27" i="9"/>
  <c r="Q29" i="9"/>
  <c r="Q23" i="9"/>
  <c r="Q24" i="9"/>
  <c r="Q8" i="9"/>
  <c r="Q25" i="9"/>
  <c r="Q20" i="9"/>
  <c r="Q7" i="9"/>
  <c r="Q15" i="9"/>
  <c r="Q14" i="9"/>
  <c r="Q12" i="9"/>
  <c r="Q13" i="9"/>
  <c r="Q19" i="9"/>
  <c r="Q28" i="9"/>
  <c r="Q26" i="9"/>
  <c r="Q4" i="9"/>
  <c r="R20" i="7"/>
  <c r="R21" i="7"/>
  <c r="R13" i="7"/>
  <c r="Q19" i="7"/>
  <c r="M19" i="7"/>
  <c r="Q13" i="7"/>
  <c r="R12" i="7"/>
  <c r="M34" i="7"/>
  <c r="M22" i="7"/>
  <c r="M23" i="7"/>
  <c r="M27" i="7"/>
  <c r="R32" i="7"/>
  <c r="Q16" i="7"/>
  <c r="R16" i="7"/>
  <c r="M18" i="7"/>
  <c r="K40" i="7"/>
  <c r="L39" i="7"/>
  <c r="M39" i="7" s="1"/>
  <c r="Q17" i="7"/>
  <c r="K39" i="7"/>
  <c r="M17" i="7"/>
  <c r="M35" i="7"/>
  <c r="R35" i="7"/>
  <c r="R29" i="7"/>
  <c r="R28" i="7"/>
  <c r="R14" i="7"/>
  <c r="M15" i="7"/>
  <c r="R11" i="7"/>
  <c r="L40" i="7"/>
  <c r="M40" i="7" s="1"/>
  <c r="M25" i="7"/>
  <c r="U18" i="4"/>
  <c r="X18" i="4" s="1"/>
  <c r="Y18" i="4" s="1"/>
  <c r="U21" i="4"/>
  <c r="W28" i="4"/>
  <c r="V18" i="4"/>
  <c r="U10" i="4"/>
  <c r="O31" i="4"/>
  <c r="V11" i="4"/>
  <c r="V12" i="4"/>
  <c r="U25" i="4"/>
  <c r="X25" i="4" s="1"/>
  <c r="Y25" i="4" s="1"/>
  <c r="V5" i="4"/>
  <c r="P3" i="4"/>
  <c r="T3" i="4" s="1"/>
  <c r="V26" i="4"/>
  <c r="V7" i="4"/>
  <c r="V13" i="4"/>
  <c r="U22" i="4"/>
  <c r="X22" i="4" s="1"/>
  <c r="Y22" i="4" s="1"/>
  <c r="V22" i="4"/>
  <c r="V8" i="4"/>
  <c r="U14" i="4"/>
  <c r="V15" i="4"/>
  <c r="W23" i="4"/>
  <c r="U27" i="4"/>
  <c r="V9" i="4"/>
  <c r="V23" i="4"/>
  <c r="X23" i="4"/>
  <c r="Y23" i="4" s="1"/>
  <c r="V24" i="4"/>
  <c r="V6" i="4"/>
  <c r="W29" i="4"/>
  <c r="V29" i="4"/>
  <c r="T17" i="4"/>
  <c r="P30" i="4"/>
  <c r="U31" i="9" l="1"/>
  <c r="U30" i="9"/>
  <c r="V30" i="9"/>
  <c r="V31" i="9"/>
  <c r="L42" i="7"/>
  <c r="M42" i="7" s="1"/>
  <c r="P16" i="4"/>
  <c r="P31" i="4"/>
  <c r="Q3" i="4" s="1"/>
  <c r="Q17" i="4"/>
  <c r="V3" i="4"/>
  <c r="V16" i="4" s="1"/>
  <c r="U3" i="4"/>
  <c r="U16" i="4" s="1"/>
  <c r="T16" i="4"/>
  <c r="V17" i="4"/>
  <c r="U17" i="4"/>
  <c r="T30" i="4"/>
  <c r="Q23" i="4"/>
  <c r="Q15" i="4"/>
  <c r="Q6" i="4"/>
  <c r="Q26" i="4"/>
  <c r="Q19" i="4"/>
  <c r="Q21" i="4"/>
  <c r="Q5" i="4"/>
  <c r="Q12" i="4"/>
  <c r="Q24" i="4"/>
  <c r="Q18" i="4"/>
  <c r="Q10" i="4"/>
  <c r="Q14" i="4"/>
  <c r="Q4" i="4"/>
  <c r="Q29" i="4"/>
  <c r="Q7" i="4"/>
  <c r="Q11" i="4"/>
  <c r="Q22" i="4"/>
  <c r="W11" i="9" l="1"/>
  <c r="X11" i="9" s="1"/>
  <c r="Y11" i="9" s="1"/>
  <c r="W5" i="9"/>
  <c r="X5" i="9" s="1"/>
  <c r="Y5" i="9" s="1"/>
  <c r="W15" i="9"/>
  <c r="X15" i="9" s="1"/>
  <c r="Y15" i="9" s="1"/>
  <c r="W9" i="9"/>
  <c r="X9" i="9" s="1"/>
  <c r="Y9" i="9" s="1"/>
  <c r="W10" i="9"/>
  <c r="X10" i="9" s="1"/>
  <c r="Y10" i="9" s="1"/>
  <c r="W13" i="9"/>
  <c r="X13" i="9" s="1"/>
  <c r="Y13" i="9" s="1"/>
  <c r="W8" i="9"/>
  <c r="X8" i="9" s="1"/>
  <c r="Y8" i="9" s="1"/>
  <c r="W14" i="9"/>
  <c r="X14" i="9" s="1"/>
  <c r="Y14" i="9" s="1"/>
  <c r="W26" i="9"/>
  <c r="X26" i="9" s="1"/>
  <c r="Y26" i="9" s="1"/>
  <c r="W27" i="9"/>
  <c r="X27" i="9" s="1"/>
  <c r="Y27" i="9" s="1"/>
  <c r="W12" i="9"/>
  <c r="X12" i="9" s="1"/>
  <c r="Y12" i="9" s="1"/>
  <c r="W21" i="9"/>
  <c r="X21" i="9" s="1"/>
  <c r="Y21" i="9" s="1"/>
  <c r="W4" i="9"/>
  <c r="X4" i="9" s="1"/>
  <c r="Y4" i="9" s="1"/>
  <c r="W19" i="9"/>
  <c r="X19" i="9" s="1"/>
  <c r="Y19" i="9" s="1"/>
  <c r="W7" i="9"/>
  <c r="X7" i="9" s="1"/>
  <c r="Y7" i="9" s="1"/>
  <c r="W24" i="9"/>
  <c r="X24" i="9" s="1"/>
  <c r="Y24" i="9" s="1"/>
  <c r="W6" i="9"/>
  <c r="X6" i="9" s="1"/>
  <c r="Y6" i="9" s="1"/>
  <c r="W20" i="9"/>
  <c r="X20" i="9" s="1"/>
  <c r="Y20" i="9" s="1"/>
  <c r="W3" i="9"/>
  <c r="W17" i="9"/>
  <c r="L45" i="7"/>
  <c r="M45" i="7" s="1"/>
  <c r="Q9" i="4"/>
  <c r="Q25" i="4"/>
  <c r="Q20" i="4"/>
  <c r="Q13" i="4"/>
  <c r="Q8" i="4"/>
  <c r="Q31" i="4"/>
  <c r="Q28" i="4"/>
  <c r="Q16" i="4"/>
  <c r="Q30" i="4"/>
  <c r="Q27" i="4"/>
  <c r="T31" i="4"/>
  <c r="U30" i="4"/>
  <c r="U31" i="4"/>
  <c r="V30" i="4"/>
  <c r="V31" i="4"/>
  <c r="W4" i="4" s="1"/>
  <c r="AC14" i="9" l="1"/>
  <c r="AC8" i="9"/>
  <c r="AC13" i="9"/>
  <c r="AC4" i="9"/>
  <c r="AC10" i="9"/>
  <c r="W31" i="9"/>
  <c r="W30" i="9"/>
  <c r="X17" i="9"/>
  <c r="AC9" i="9"/>
  <c r="AC7" i="9"/>
  <c r="AC12" i="9"/>
  <c r="AC15" i="9"/>
  <c r="AC5" i="9"/>
  <c r="W16" i="9"/>
  <c r="X3" i="9"/>
  <c r="AC6" i="9"/>
  <c r="AC11" i="9"/>
  <c r="X4" i="4"/>
  <c r="Y4" i="4" s="1"/>
  <c r="W10" i="4"/>
  <c r="X10" i="4" s="1"/>
  <c r="Y10" i="4" s="1"/>
  <c r="W13" i="4"/>
  <c r="X13" i="4" s="1"/>
  <c r="Y13" i="4" s="1"/>
  <c r="W6" i="4"/>
  <c r="X6" i="4" s="1"/>
  <c r="Y6" i="4" s="1"/>
  <c r="W26" i="4"/>
  <c r="X26" i="4" s="1"/>
  <c r="Y26" i="4" s="1"/>
  <c r="W19" i="4"/>
  <c r="X19" i="4" s="1"/>
  <c r="Y19" i="4" s="1"/>
  <c r="W7" i="4"/>
  <c r="X7" i="4" s="1"/>
  <c r="Y7" i="4" s="1"/>
  <c r="W15" i="4"/>
  <c r="X15" i="4" s="1"/>
  <c r="Y15" i="4" s="1"/>
  <c r="W24" i="4"/>
  <c r="X24" i="4" s="1"/>
  <c r="Y24" i="4" s="1"/>
  <c r="W20" i="4"/>
  <c r="X20" i="4" s="1"/>
  <c r="Y20" i="4" s="1"/>
  <c r="W9" i="4"/>
  <c r="X9" i="4" s="1"/>
  <c r="Y9" i="4" s="1"/>
  <c r="W21" i="4"/>
  <c r="X21" i="4" s="1"/>
  <c r="Y21" i="4" s="1"/>
  <c r="W27" i="4"/>
  <c r="X27" i="4" s="1"/>
  <c r="Y27" i="4" s="1"/>
  <c r="W5" i="4"/>
  <c r="X5" i="4" s="1"/>
  <c r="Y5" i="4" s="1"/>
  <c r="W8" i="4"/>
  <c r="X8" i="4" s="1"/>
  <c r="Y8" i="4" s="1"/>
  <c r="W14" i="4"/>
  <c r="X14" i="4" s="1"/>
  <c r="Y14" i="4" s="1"/>
  <c r="W17" i="4"/>
  <c r="W11" i="4"/>
  <c r="X11" i="4" s="1"/>
  <c r="Y11" i="4" s="1"/>
  <c r="W12" i="4"/>
  <c r="X12" i="4" s="1"/>
  <c r="Y12" i="4" s="1"/>
  <c r="W3" i="4"/>
  <c r="X31" i="9" l="1"/>
  <c r="X30" i="9"/>
  <c r="Y17" i="9"/>
  <c r="X16" i="9"/>
  <c r="Y3" i="9"/>
  <c r="X3" i="4"/>
  <c r="W16" i="4"/>
  <c r="X17" i="4"/>
  <c r="W30" i="4"/>
  <c r="W31" i="4"/>
  <c r="AC3" i="9" l="1"/>
  <c r="Y16" i="9"/>
  <c r="Y31" i="9"/>
  <c r="Y30" i="9"/>
  <c r="X16" i="4"/>
  <c r="Y3" i="4"/>
  <c r="Y17" i="4"/>
  <c r="X31" i="4"/>
  <c r="X30" i="4"/>
  <c r="Z31" i="9" l="1"/>
  <c r="Z22" i="9"/>
  <c r="Z28" i="9"/>
  <c r="Z29" i="9"/>
  <c r="Z23" i="9"/>
  <c r="Z18" i="9"/>
  <c r="Z25" i="9"/>
  <c r="Z14" i="9"/>
  <c r="AD14" i="9" s="1"/>
  <c r="Z10" i="9"/>
  <c r="Z5" i="9"/>
  <c r="Z11" i="9"/>
  <c r="Z8" i="9"/>
  <c r="Z12" i="9"/>
  <c r="Z13" i="9"/>
  <c r="AD13" i="9" s="1"/>
  <c r="Z7" i="9"/>
  <c r="AD7" i="9" s="1"/>
  <c r="Z6" i="9"/>
  <c r="Z9" i="9"/>
  <c r="Z19" i="9"/>
  <c r="Z15" i="9"/>
  <c r="Z24" i="9"/>
  <c r="Z27" i="9"/>
  <c r="Z21" i="9"/>
  <c r="Z4" i="9"/>
  <c r="AD4" i="9" s="1"/>
  <c r="Z26" i="9"/>
  <c r="Z20" i="9"/>
  <c r="Z30" i="9"/>
  <c r="Z17" i="9"/>
  <c r="AC16" i="9"/>
  <c r="Z16" i="9"/>
  <c r="Z3" i="9"/>
  <c r="AD3" i="9" s="1"/>
  <c r="Y30" i="4"/>
  <c r="Y31" i="4"/>
  <c r="Z3" i="4" s="1"/>
  <c r="Y16" i="4"/>
  <c r="AD16" i="9" l="1"/>
  <c r="AD8" i="9"/>
  <c r="AD9" i="9"/>
  <c r="AD10" i="9"/>
  <c r="AD11" i="9"/>
  <c r="AD6" i="9"/>
  <c r="AD12" i="9"/>
  <c r="AD15" i="9"/>
  <c r="AD5" i="9"/>
  <c r="Z16" i="4"/>
  <c r="Z17" i="4"/>
  <c r="Z28" i="4"/>
  <c r="Z21" i="4"/>
  <c r="Z22" i="4"/>
  <c r="Z13" i="4"/>
  <c r="Z20" i="4"/>
  <c r="Z18" i="4"/>
  <c r="Z12" i="4"/>
  <c r="Z31" i="4"/>
  <c r="Z9" i="4"/>
  <c r="Z25" i="4"/>
  <c r="Z29" i="4"/>
  <c r="Z10" i="4"/>
  <c r="Z4" i="4"/>
  <c r="Z15" i="4"/>
  <c r="Z6" i="4"/>
  <c r="Z5" i="4"/>
  <c r="Z23" i="4"/>
  <c r="Z11" i="4"/>
  <c r="Z8" i="4"/>
  <c r="Z24" i="4"/>
  <c r="Z14" i="4"/>
  <c r="Z19" i="4"/>
  <c r="Z26" i="4"/>
  <c r="Z7" i="4"/>
  <c r="Z27" i="4"/>
  <c r="Z30" i="4"/>
</calcChain>
</file>

<file path=xl/comments1.xml><?xml version="1.0" encoding="utf-8"?>
<comments xmlns="http://schemas.openxmlformats.org/spreadsheetml/2006/main">
  <authors>
    <author>Alena Morgan</author>
  </authors>
  <commentList>
    <comment ref="G32" authorId="0" shapeId="0">
      <text>
        <r>
          <rPr>
            <b/>
            <sz val="9"/>
            <color indexed="81"/>
            <rFont val="Tahoma"/>
            <family val="2"/>
          </rPr>
          <t>Alena Morgan:</t>
        </r>
        <r>
          <rPr>
            <sz val="9"/>
            <color indexed="81"/>
            <rFont val="Tahoma"/>
            <family val="2"/>
          </rPr>
          <t xml:space="preserve">
Increased by .02
</t>
        </r>
      </text>
    </comment>
  </commentList>
</comments>
</file>

<file path=xl/sharedStrings.xml><?xml version="1.0" encoding="utf-8"?>
<sst xmlns="http://schemas.openxmlformats.org/spreadsheetml/2006/main" count="200" uniqueCount="101">
  <si>
    <t>Total</t>
  </si>
  <si>
    <t>Region</t>
  </si>
  <si>
    <t>Subtotal</t>
  </si>
  <si>
    <t>MSA Counties with Urban Places</t>
  </si>
  <si>
    <t>Non-MSA Counties and Counties with Only Rural Places</t>
  </si>
  <si>
    <t>Individuals at or Below 200% Poverty</t>
  </si>
  <si>
    <t>HH at or Below 200% Poverty</t>
  </si>
  <si>
    <t>Texas Average HH Size:</t>
  </si>
  <si>
    <t>Initial Subregion Amount</t>
  </si>
  <si>
    <t>Weight of Need Variables:</t>
  </si>
  <si>
    <t>Weight of Availability Variables:</t>
  </si>
  <si>
    <t>Weighted</t>
  </si>
  <si>
    <t>Total Need Variables</t>
  </si>
  <si>
    <t>Vacant Units For Rent</t>
  </si>
  <si>
    <t>% of Total Need Variables</t>
  </si>
  <si>
    <t>Subregion Allocation Floor:</t>
  </si>
  <si>
    <t>Table 1 - Raw Data</t>
  </si>
  <si>
    <t>Table 2 - Weights</t>
  </si>
  <si>
    <t>Overcrowded Renters</t>
  </si>
  <si>
    <t>Total Availability Variable</t>
  </si>
  <si>
    <t>% of Total Availability Variable</t>
  </si>
  <si>
    <t>Cost-Burdened Renters</t>
  </si>
  <si>
    <t>Final Subregion Allocation</t>
  </si>
  <si>
    <t>Table 3 - Reallocation</t>
  </si>
  <si>
    <t>Amount Needed to Reach Subregion Floor</t>
  </si>
  <si>
    <t>Amount that can be Reallocated</t>
  </si>
  <si>
    <t>Amount to be Reallocated</t>
  </si>
  <si>
    <t>% of Total Amount that can be Reallocated</t>
  </si>
  <si>
    <t>% of Total Award</t>
  </si>
  <si>
    <t>Initial Subregion Allocation</t>
  </si>
  <si>
    <t>Grand Total</t>
  </si>
  <si>
    <t>REQUEST LIMITS</t>
  </si>
  <si>
    <t>ELDERLY FUNDING LIMITS</t>
  </si>
  <si>
    <t>Geographic Area</t>
  </si>
  <si>
    <t>Initial Sub-Region Amount</t>
  </si>
  <si>
    <t>Amount needed to reach $600,000</t>
  </si>
  <si>
    <t>Amount over $600,000 that can be reallocated</t>
  </si>
  <si>
    <t>Proportion of amount available to be reallocated</t>
  </si>
  <si>
    <t>Final Funding Amount</t>
  </si>
  <si>
    <t>Allocation %</t>
  </si>
  <si>
    <t>Max Funding Request/Award Limits</t>
  </si>
  <si>
    <t xml:space="preserve">Maximum Elderly Funding Limit </t>
  </si>
  <si>
    <t>Urban</t>
  </si>
  <si>
    <t>Lubbock</t>
  </si>
  <si>
    <t>n/a</t>
  </si>
  <si>
    <t>Abilene</t>
  </si>
  <si>
    <t>Tyler</t>
  </si>
  <si>
    <t>Beaumont</t>
  </si>
  <si>
    <t>Houston</t>
  </si>
  <si>
    <t>Waco</t>
  </si>
  <si>
    <t>Brownsville/Harlingen</t>
  </si>
  <si>
    <t>Rural</t>
  </si>
  <si>
    <t>Urban Totals</t>
  </si>
  <si>
    <t>Rural Totals</t>
  </si>
  <si>
    <t>Regional Totals</t>
  </si>
  <si>
    <t>At-Risk Totals</t>
  </si>
  <si>
    <t>USDA (From At-Risk)</t>
  </si>
  <si>
    <t>NOTES:</t>
  </si>
  <si>
    <t xml:space="preserve">Elderly
Percentage </t>
  </si>
  <si>
    <r>
      <t>Dallas/Fort</t>
    </r>
    <r>
      <rPr>
        <b/>
        <sz val="12"/>
        <color indexed="8"/>
        <rFont val="Calibri"/>
        <family val="2"/>
        <scheme val="minor"/>
      </rPr>
      <t xml:space="preserve"> </t>
    </r>
    <r>
      <rPr>
        <sz val="12"/>
        <color indexed="8"/>
        <rFont val="Calibri"/>
        <family val="2"/>
        <scheme val="minor"/>
      </rPr>
      <t>Worth</t>
    </r>
  </si>
  <si>
    <r>
      <t>Austin/Round</t>
    </r>
    <r>
      <rPr>
        <b/>
        <sz val="12"/>
        <color indexed="8"/>
        <rFont val="Calibri"/>
        <family val="2"/>
        <scheme val="minor"/>
      </rPr>
      <t xml:space="preserve"> </t>
    </r>
    <r>
      <rPr>
        <sz val="12"/>
        <color indexed="8"/>
        <rFont val="Calibri"/>
        <family val="2"/>
        <scheme val="minor"/>
      </rPr>
      <t>Rock</t>
    </r>
  </si>
  <si>
    <r>
      <t>San</t>
    </r>
    <r>
      <rPr>
        <b/>
        <sz val="12"/>
        <color indexed="8"/>
        <rFont val="Calibri"/>
        <family val="2"/>
        <scheme val="minor"/>
      </rPr>
      <t xml:space="preserve"> </t>
    </r>
    <r>
      <rPr>
        <sz val="12"/>
        <color indexed="8"/>
        <rFont val="Calibri"/>
        <family val="2"/>
        <scheme val="minor"/>
      </rPr>
      <t>Antonio</t>
    </r>
  </si>
  <si>
    <r>
      <t>Corpus</t>
    </r>
    <r>
      <rPr>
        <b/>
        <sz val="12"/>
        <color indexed="8"/>
        <rFont val="Calibri"/>
        <family val="2"/>
        <scheme val="minor"/>
      </rPr>
      <t xml:space="preserve"> </t>
    </r>
    <r>
      <rPr>
        <sz val="12"/>
        <color indexed="8"/>
        <rFont val="Calibri"/>
        <family val="2"/>
        <scheme val="minor"/>
      </rPr>
      <t>Christi</t>
    </r>
  </si>
  <si>
    <r>
      <t>San</t>
    </r>
    <r>
      <rPr>
        <b/>
        <sz val="12"/>
        <color indexed="8"/>
        <rFont val="Calibri"/>
        <family val="2"/>
        <scheme val="minor"/>
      </rPr>
      <t xml:space="preserve"> </t>
    </r>
    <r>
      <rPr>
        <sz val="12"/>
        <color indexed="8"/>
        <rFont val="Calibri"/>
        <family val="2"/>
        <scheme val="minor"/>
      </rPr>
      <t>Angelo</t>
    </r>
  </si>
  <si>
    <r>
      <t>El</t>
    </r>
    <r>
      <rPr>
        <b/>
        <sz val="12"/>
        <color indexed="8"/>
        <rFont val="Calibri"/>
        <family val="2"/>
        <scheme val="minor"/>
      </rPr>
      <t xml:space="preserve"> </t>
    </r>
    <r>
      <rPr>
        <sz val="12"/>
        <color indexed="8"/>
        <rFont val="Calibri"/>
        <family val="2"/>
        <scheme val="minor"/>
      </rPr>
      <t>Paso</t>
    </r>
  </si>
  <si>
    <t>Total Allocation:</t>
  </si>
  <si>
    <t>2021 COMPETITIVE HOUSING TAX CREDIT (9% HTC) ESTIMATED ALLOCATION</t>
  </si>
  <si>
    <t>2020 Population (pending 2021 Bulletin)</t>
  </si>
  <si>
    <t>2021 Cap Rate</t>
  </si>
  <si>
    <t>2021 Initial Ceiling Estimate</t>
  </si>
  <si>
    <t>2021 Calendar Year Returns</t>
  </si>
  <si>
    <t>Sub-Region Amount after Returns</t>
  </si>
  <si>
    <t xml:space="preserve">REVISED 2021 STATE OF TEXAS COMPETITIVE HOUSING TAX CREDIT ESTIMATED ALLOCATION, SUB-REGIONAL REQUEST AND ELDERLY FUNDING LIMITS </t>
  </si>
  <si>
    <t>Amount Based Purely on RAF</t>
  </si>
  <si>
    <t>Annual Allocation</t>
  </si>
  <si>
    <t>Additional or Less Credits to Distribute with Regional Allocation Formula, Not Specific Region/ Pot (National Pool, Returned Credits, etc.)</t>
  </si>
  <si>
    <t>Credit Amount</t>
  </si>
  <si>
    <t>At-Risk Set-Aside</t>
  </si>
  <si>
    <t>USDA Set-Aside</t>
  </si>
  <si>
    <t>Rural Set-Aside</t>
  </si>
  <si>
    <t>State Population (pending 2021 Bulletin)</t>
  </si>
  <si>
    <t>Cap Rate per IRS</t>
  </si>
  <si>
    <t>National Pool (2021)</t>
  </si>
  <si>
    <t>Returned Credits to Regions/Set-Asides (2020)</t>
  </si>
  <si>
    <t>Credits Carried Forward (2020 8610 Form)</t>
  </si>
  <si>
    <t>State Ceiling (Population + Carryover)</t>
  </si>
  <si>
    <t>Credit Type</t>
  </si>
  <si>
    <t>(Estimated) Total State Credit Ceiling</t>
  </si>
  <si>
    <t>10% Non-Profit Set-Aside</t>
  </si>
  <si>
    <t>(Estimated) Total Regional Allocation</t>
  </si>
  <si>
    <t>(Estimated) State Credit Based on Population</t>
  </si>
  <si>
    <t>Regional Subtotals</t>
  </si>
  <si>
    <t xml:space="preserve">This table reflects the allocation of the estimated Competitive Housing Tax Credit Ceiling that the Department expects to have available for allocation during the 2021 cycle. This initial ceiling is estimated using the 2021 population figure of 29,360,759 (IRS Bulletin 2021-19), multiplied by the 2021 cap rate of $2.8125 (IRS Rev. Proc. 2020-45). The "Elderly Funding Limits" have been estimated using the 2021 HISTA data.The column labeled "Final Funding Amount" is the column an Applicant can reference to determine the amount of the credit ceiling that is estimated to be available in each subregion for the 2021 cycle. The column labeled "Max Funding Request/Award Limits" reflects the estimated maximum request limit for each State sub-region in accordance with 10 TAC §11.4(b) of the QAP. An Applicant cannot request or be awarded more than the amounts reflected. </t>
  </si>
  <si>
    <t>Grand Total Based on Pop</t>
  </si>
  <si>
    <t>At-Risk</t>
  </si>
  <si>
    <t>Regional Total (RAF)</t>
  </si>
  <si>
    <t xml:space="preserve">Returned Credits Tracking: </t>
  </si>
  <si>
    <t>..\..\2021 IRS Reporting\2021 Credit Returns\2021 Credit Return Tracking.xlsx</t>
  </si>
  <si>
    <t>5R</t>
  </si>
  <si>
    <t xml:space="preserve">Added from Returned </t>
  </si>
  <si>
    <t>11U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</si>
</sst>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 numFmtId="168" formatCode="&quot;$&quot;#,##0"/>
  </numFmts>
  <fonts count="23"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b/>
      <sz val="12"/>
      <color indexed="8"/>
      <name val="Calibri"/>
      <family val="2"/>
      <scheme val="minor"/>
    </font>
    <font>
      <sz val="12"/>
      <color indexed="8"/>
      <name val="Calibri"/>
      <family val="2"/>
      <scheme val="minor"/>
    </font>
    <font>
      <b/>
      <sz val="10"/>
      <name val="Calibri"/>
      <family val="2"/>
      <scheme val="minor"/>
    </font>
    <font>
      <sz val="9"/>
      <color indexed="81"/>
      <name val="Tahoma"/>
      <family val="2"/>
    </font>
    <font>
      <b/>
      <sz val="9"/>
      <color indexed="81"/>
      <name val="Tahoma"/>
      <family val="2"/>
    </font>
    <font>
      <b/>
      <sz val="14"/>
      <name val="Calibri"/>
      <family val="2"/>
      <scheme val="minor"/>
    </font>
    <font>
      <sz val="10"/>
      <name val="Calibri"/>
      <family val="2"/>
      <scheme val="minor"/>
    </font>
    <font>
      <i/>
      <sz val="11"/>
      <color theme="1"/>
      <name val="Calibri"/>
      <family val="2"/>
      <scheme val="minor"/>
    </font>
    <font>
      <i/>
      <sz val="10"/>
      <name val="Calibri"/>
      <family val="2"/>
      <scheme val="minor"/>
    </font>
    <font>
      <b/>
      <sz val="11"/>
      <color theme="1"/>
      <name val="Calibri"/>
      <family val="2"/>
      <scheme val="minor"/>
    </font>
    <font>
      <sz val="10"/>
      <name val="Arial"/>
      <family val="2"/>
    </font>
    <font>
      <u/>
      <sz val="11"/>
      <color theme="1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double">
        <color auto="1"/>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1" fillId="0" borderId="0"/>
    <xf numFmtId="43" fontId="21" fillId="0" borderId="0" applyFont="0" applyFill="0" applyBorder="0" applyAlignment="0" applyProtection="0"/>
    <xf numFmtId="0" fontId="22" fillId="0" borderId="0" applyNumberFormat="0" applyFill="0" applyBorder="0" applyAlignment="0" applyProtection="0"/>
  </cellStyleXfs>
  <cellXfs count="298">
    <xf numFmtId="0" fontId="0" fillId="0" borderId="0" xfId="0"/>
    <xf numFmtId="0" fontId="2" fillId="0" borderId="0" xfId="0" applyFont="1" applyFill="1" applyBorder="1"/>
    <xf numFmtId="0" fontId="2" fillId="0" borderId="0" xfId="0" applyFont="1" applyFill="1" applyBorder="1" applyAlignment="1">
      <alignment horizontal="center" vertical="center"/>
    </xf>
    <xf numFmtId="9" fontId="2" fillId="0" borderId="0" xfId="0" applyNumberFormat="1" applyFont="1" applyFill="1" applyBorder="1" applyAlignment="1">
      <alignment horizontal="left"/>
    </xf>
    <xf numFmtId="168" fontId="4" fillId="0" borderId="0" xfId="0" applyNumberFormat="1" applyFont="1" applyFill="1" applyBorder="1" applyAlignment="1">
      <alignment horizontal="left"/>
    </xf>
    <xf numFmtId="167" fontId="2" fillId="0" borderId="0" xfId="0" applyNumberFormat="1" applyFont="1" applyFill="1" applyBorder="1" applyAlignment="1">
      <alignment horizontal="left" vertical="center" wrapText="1"/>
    </xf>
    <xf numFmtId="165" fontId="2" fillId="0" borderId="1" xfId="3"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165" fontId="2" fillId="0" borderId="4" xfId="3"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10" fontId="2" fillId="0" borderId="13" xfId="3"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2" borderId="2" xfId="0" applyFont="1" applyFill="1" applyBorder="1" applyAlignment="1">
      <alignment horizontal="center" vertical="center"/>
    </xf>
    <xf numFmtId="9" fontId="2" fillId="2" borderId="12" xfId="3" applyFont="1" applyFill="1" applyBorder="1" applyAlignment="1">
      <alignment horizontal="center" vertical="center"/>
    </xf>
    <xf numFmtId="10" fontId="2" fillId="2" borderId="13" xfId="3" applyNumberFormat="1" applyFont="1" applyFill="1" applyBorder="1" applyAlignment="1">
      <alignment horizontal="center" vertical="center" wrapText="1"/>
    </xf>
    <xf numFmtId="165" fontId="2" fillId="3" borderId="9" xfId="3" applyNumberFormat="1" applyFont="1" applyFill="1" applyBorder="1" applyAlignment="1">
      <alignment horizontal="center" vertical="center"/>
    </xf>
    <xf numFmtId="10" fontId="2" fillId="3" borderId="10" xfId="3"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2" fillId="0" borderId="16" xfId="1" applyNumberFormat="1" applyFont="1" applyFill="1" applyBorder="1" applyAlignment="1">
      <alignment horizontal="center" vertical="center"/>
    </xf>
    <xf numFmtId="166" fontId="2" fillId="0" borderId="5" xfId="2" applyNumberFormat="1" applyFont="1" applyFill="1" applyBorder="1" applyAlignment="1">
      <alignment horizontal="center" vertical="center"/>
    </xf>
    <xf numFmtId="164" fontId="2" fillId="0" borderId="18" xfId="1" applyNumberFormat="1" applyFont="1" applyFill="1" applyBorder="1" applyAlignment="1">
      <alignment horizontal="center" vertical="center"/>
    </xf>
    <xf numFmtId="166" fontId="2" fillId="0" borderId="7" xfId="2" applyNumberFormat="1" applyFont="1" applyFill="1" applyBorder="1" applyAlignment="1">
      <alignment horizontal="center" vertical="center"/>
    </xf>
    <xf numFmtId="164" fontId="2" fillId="3" borderId="20" xfId="1" applyNumberFormat="1" applyFont="1" applyFill="1" applyBorder="1" applyAlignment="1">
      <alignment horizontal="center" vertical="center"/>
    </xf>
    <xf numFmtId="166" fontId="2" fillId="3" borderId="10" xfId="1"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6" fontId="2" fillId="2" borderId="13" xfId="3" applyNumberFormat="1" applyFont="1" applyFill="1" applyBorder="1" applyAlignment="1">
      <alignment horizontal="center" vertical="center"/>
    </xf>
    <xf numFmtId="0" fontId="3" fillId="0" borderId="30" xfId="0" applyFont="1" applyFill="1" applyBorder="1" applyAlignment="1">
      <alignment horizontal="center" vertical="center" wrapText="1"/>
    </xf>
    <xf numFmtId="10" fontId="2" fillId="4" borderId="5" xfId="3" applyNumberFormat="1" applyFont="1" applyFill="1" applyBorder="1" applyAlignment="1">
      <alignment horizontal="center" vertical="center" wrapText="1"/>
    </xf>
    <xf numFmtId="10" fontId="2" fillId="4" borderId="7" xfId="3" applyNumberFormat="1" applyFont="1" applyFill="1" applyBorder="1" applyAlignment="1">
      <alignment horizontal="center" vertical="center" wrapText="1"/>
    </xf>
    <xf numFmtId="44" fontId="2" fillId="0" borderId="25" xfId="0" applyNumberFormat="1" applyFont="1" applyFill="1" applyBorder="1" applyAlignment="1">
      <alignment horizontal="center" vertical="center"/>
    </xf>
    <xf numFmtId="44" fontId="2" fillId="4" borderId="16" xfId="0" applyNumberFormat="1" applyFont="1" applyFill="1" applyBorder="1" applyAlignment="1">
      <alignment horizontal="center" vertical="center"/>
    </xf>
    <xf numFmtId="10" fontId="2" fillId="4" borderId="5" xfId="3" applyNumberFormat="1" applyFont="1" applyFill="1" applyBorder="1" applyAlignment="1">
      <alignment horizontal="center" vertical="center"/>
    </xf>
    <xf numFmtId="44" fontId="2" fillId="0" borderId="22" xfId="0" applyNumberFormat="1" applyFont="1" applyFill="1" applyBorder="1" applyAlignment="1">
      <alignment horizontal="center" vertical="center"/>
    </xf>
    <xf numFmtId="44" fontId="2" fillId="4" borderId="18" xfId="0" applyNumberFormat="1" applyFont="1" applyFill="1" applyBorder="1" applyAlignment="1">
      <alignment horizontal="center" vertical="center"/>
    </xf>
    <xf numFmtId="10" fontId="2" fillId="4" borderId="7" xfId="3" applyNumberFormat="1" applyFont="1" applyFill="1" applyBorder="1" applyAlignment="1">
      <alignment horizontal="center" vertical="center"/>
    </xf>
    <xf numFmtId="44" fontId="2" fillId="3" borderId="26" xfId="0" applyNumberFormat="1" applyFont="1" applyFill="1" applyBorder="1" applyAlignment="1">
      <alignment horizontal="center" vertical="center"/>
    </xf>
    <xf numFmtId="44" fontId="2" fillId="3" borderId="21" xfId="0" applyNumberFormat="1" applyFont="1" applyFill="1" applyBorder="1" applyAlignment="1">
      <alignment horizontal="center" vertical="center"/>
    </xf>
    <xf numFmtId="44" fontId="2" fillId="3" borderId="20" xfId="0" applyNumberFormat="1" applyFont="1" applyFill="1" applyBorder="1" applyAlignment="1">
      <alignment horizontal="center" vertical="center"/>
    </xf>
    <xf numFmtId="10" fontId="2" fillId="3" borderId="10" xfId="3" applyNumberFormat="1" applyFont="1" applyFill="1" applyBorder="1" applyAlignment="1">
      <alignment horizontal="center" vertical="center"/>
    </xf>
    <xf numFmtId="44" fontId="2" fillId="2" borderId="24" xfId="0" applyNumberFormat="1" applyFont="1" applyFill="1" applyBorder="1" applyAlignment="1">
      <alignment horizontal="center" vertical="center"/>
    </xf>
    <xf numFmtId="44" fontId="2" fillId="2" borderId="30" xfId="0" applyNumberFormat="1" applyFont="1" applyFill="1" applyBorder="1" applyAlignment="1">
      <alignment horizontal="center" vertical="center"/>
    </xf>
    <xf numFmtId="44" fontId="2" fillId="2" borderId="11" xfId="0" applyNumberFormat="1" applyFont="1" applyFill="1" applyBorder="1" applyAlignment="1">
      <alignment horizontal="center" vertical="center"/>
    </xf>
    <xf numFmtId="10" fontId="2" fillId="2" borderId="13" xfId="3" applyNumberFormat="1" applyFont="1" applyFill="1" applyBorder="1" applyAlignment="1">
      <alignment horizontal="center" vertical="center"/>
    </xf>
    <xf numFmtId="0" fontId="2" fillId="0" borderId="23" xfId="0" applyFont="1" applyFill="1" applyBorder="1" applyAlignment="1">
      <alignment horizontal="center" vertical="center" wrapText="1"/>
    </xf>
    <xf numFmtId="164" fontId="2" fillId="0" borderId="14" xfId="1" applyNumberFormat="1" applyFont="1" applyFill="1" applyBorder="1" applyAlignment="1">
      <alignment horizontal="center" vertical="center" wrapText="1"/>
    </xf>
    <xf numFmtId="164" fontId="2" fillId="0" borderId="31" xfId="1" applyNumberFormat="1" applyFont="1" applyFill="1" applyBorder="1" applyAlignment="1">
      <alignment horizontal="center" vertical="center" wrapText="1"/>
    </xf>
    <xf numFmtId="165" fontId="2" fillId="0" borderId="15" xfId="3" applyNumberFormat="1" applyFont="1" applyFill="1" applyBorder="1" applyAlignment="1">
      <alignment horizontal="center" vertical="center" wrapText="1"/>
    </xf>
    <xf numFmtId="164" fontId="2" fillId="0" borderId="23" xfId="1"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0" borderId="31" xfId="3" applyFont="1" applyFill="1" applyBorder="1" applyAlignment="1">
      <alignment horizontal="center" vertical="center" wrapText="1"/>
    </xf>
    <xf numFmtId="10" fontId="3" fillId="0" borderId="15" xfId="3" applyNumberFormat="1" applyFont="1" applyFill="1" applyBorder="1" applyAlignment="1">
      <alignment horizontal="center" vertical="center" wrapText="1"/>
    </xf>
    <xf numFmtId="164" fontId="3" fillId="0" borderId="14" xfId="1"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44" fontId="2" fillId="0" borderId="1" xfId="0" applyNumberFormat="1" applyFont="1" applyFill="1" applyBorder="1" applyAlignment="1">
      <alignment horizontal="center" vertical="center"/>
    </xf>
    <xf numFmtId="10" fontId="2" fillId="0" borderId="1" xfId="3" applyNumberFormat="1" applyFont="1" applyFill="1" applyBorder="1" applyAlignment="1">
      <alignment horizontal="center" vertical="center"/>
    </xf>
    <xf numFmtId="44" fontId="2" fillId="0" borderId="4" xfId="0" applyNumberFormat="1" applyFont="1" applyFill="1" applyBorder="1" applyAlignment="1">
      <alignment horizontal="center" vertical="center"/>
    </xf>
    <xf numFmtId="10" fontId="2" fillId="0" borderId="4" xfId="3" applyNumberFormat="1" applyFont="1" applyFill="1" applyBorder="1" applyAlignment="1">
      <alignment horizontal="center" vertical="center"/>
    </xf>
    <xf numFmtId="44" fontId="2" fillId="3" borderId="9" xfId="0" applyNumberFormat="1" applyFont="1" applyFill="1" applyBorder="1" applyAlignment="1">
      <alignment horizontal="center" vertical="center"/>
    </xf>
    <xf numFmtId="10" fontId="2" fillId="3" borderId="9" xfId="0" applyNumberFormat="1" applyFont="1" applyFill="1" applyBorder="1" applyAlignment="1">
      <alignment horizontal="center" vertical="center"/>
    </xf>
    <xf numFmtId="44" fontId="2" fillId="2" borderId="12" xfId="0" applyNumberFormat="1" applyFont="1" applyFill="1" applyBorder="1" applyAlignment="1">
      <alignment horizontal="center" vertical="center"/>
    </xf>
    <xf numFmtId="10" fontId="2" fillId="2" borderId="12" xfId="3" applyNumberFormat="1" applyFont="1" applyFill="1" applyBorder="1" applyAlignment="1">
      <alignment horizontal="center" vertical="center"/>
    </xf>
    <xf numFmtId="44" fontId="2" fillId="0" borderId="17" xfId="3" applyNumberFormat="1" applyFont="1" applyFill="1" applyBorder="1" applyAlignment="1">
      <alignment horizontal="center" vertical="center"/>
    </xf>
    <xf numFmtId="44" fontId="2" fillId="0" borderId="19" xfId="3" applyNumberFormat="1" applyFont="1" applyFill="1" applyBorder="1" applyAlignment="1">
      <alignment horizontal="center" vertical="center"/>
    </xf>
    <xf numFmtId="3" fontId="2" fillId="0" borderId="16" xfId="0" applyNumberFormat="1" applyFont="1" applyFill="1" applyBorder="1" applyAlignment="1">
      <alignment horizontal="center" vertical="center"/>
    </xf>
    <xf numFmtId="3" fontId="2" fillId="0" borderId="4" xfId="1"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18" xfId="0" applyNumberFormat="1" applyFont="1" applyFill="1" applyBorder="1" applyAlignment="1">
      <alignment horizontal="center" vertical="center"/>
    </xf>
    <xf numFmtId="3" fontId="2" fillId="0" borderId="1" xfId="1"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3" fontId="2" fillId="3" borderId="20"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3" fontId="2" fillId="0" borderId="27"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xf>
    <xf numFmtId="3" fontId="2" fillId="3" borderId="29" xfId="1"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0" xfId="0" applyFont="1" applyFill="1" applyBorder="1" applyAlignment="1">
      <alignment horizontal="left"/>
    </xf>
    <xf numFmtId="0" fontId="5" fillId="0" borderId="0" xfId="0" applyFont="1" applyFill="1" applyBorder="1" applyAlignment="1">
      <alignment horizontal="center" vertical="center"/>
    </xf>
    <xf numFmtId="0" fontId="6" fillId="0" borderId="0" xfId="0" applyFont="1"/>
    <xf numFmtId="0" fontId="6" fillId="0" borderId="0" xfId="0" applyFont="1" applyFill="1"/>
    <xf numFmtId="0" fontId="6" fillId="0" borderId="0" xfId="0" applyFont="1" applyFill="1" applyBorder="1" applyAlignment="1">
      <alignment vertical="top"/>
    </xf>
    <xf numFmtId="0" fontId="5" fillId="6" borderId="23" xfId="0" applyFont="1" applyFill="1" applyBorder="1" applyAlignment="1">
      <alignment horizontal="center" vertical="center" wrapText="1"/>
    </xf>
    <xf numFmtId="166" fontId="5" fillId="7" borderId="27" xfId="2" applyNumberFormat="1" applyFont="1" applyFill="1" applyBorder="1" applyProtection="1"/>
    <xf numFmtId="10" fontId="5" fillId="6" borderId="16" xfId="2" applyNumberFormat="1" applyFont="1" applyFill="1" applyBorder="1" applyAlignment="1">
      <alignment horizontal="right"/>
    </xf>
    <xf numFmtId="168" fontId="5" fillId="6" borderId="5" xfId="2" applyNumberFormat="1" applyFont="1" applyFill="1" applyBorder="1" applyAlignment="1">
      <alignment horizontal="right"/>
    </xf>
    <xf numFmtId="166" fontId="5" fillId="7" borderId="28" xfId="2" applyNumberFormat="1" applyFont="1" applyFill="1" applyBorder="1" applyProtection="1"/>
    <xf numFmtId="10" fontId="5" fillId="6" borderId="18" xfId="2" applyNumberFormat="1" applyFont="1" applyFill="1" applyBorder="1" applyAlignment="1">
      <alignment horizontal="right"/>
    </xf>
    <xf numFmtId="168" fontId="5" fillId="6" borderId="7" xfId="2" applyNumberFormat="1" applyFont="1" applyFill="1" applyBorder="1" applyAlignment="1">
      <alignment horizontal="right"/>
    </xf>
    <xf numFmtId="166" fontId="5" fillId="7" borderId="29" xfId="2" applyNumberFormat="1" applyFont="1" applyFill="1" applyBorder="1" applyProtection="1"/>
    <xf numFmtId="10" fontId="5" fillId="6" borderId="20" xfId="2" applyNumberFormat="1" applyFont="1" applyFill="1" applyBorder="1" applyAlignment="1">
      <alignment horizontal="right"/>
    </xf>
    <xf numFmtId="168" fontId="5" fillId="6" borderId="10" xfId="2" applyNumberFormat="1" applyFont="1" applyFill="1" applyBorder="1" applyAlignment="1">
      <alignment horizontal="right"/>
    </xf>
    <xf numFmtId="166" fontId="5" fillId="5" borderId="0" xfId="2" applyNumberFormat="1" applyFont="1" applyFill="1" applyProtection="1"/>
    <xf numFmtId="0" fontId="6" fillId="0" borderId="6" xfId="0" applyFont="1" applyBorder="1" applyAlignment="1"/>
    <xf numFmtId="0" fontId="6" fillId="0" borderId="0" xfId="0" applyFont="1" applyAlignment="1"/>
    <xf numFmtId="0" fontId="0" fillId="0" borderId="0" xfId="0" applyFont="1"/>
    <xf numFmtId="0" fontId="7" fillId="0" borderId="0" xfId="0" applyFont="1" applyBorder="1" applyAlignment="1"/>
    <xf numFmtId="0" fontId="8" fillId="0" borderId="0" xfId="0" applyFont="1"/>
    <xf numFmtId="0" fontId="7" fillId="0" borderId="0"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0" xfId="0" applyFont="1" applyFill="1" applyBorder="1" applyAlignment="1">
      <alignment horizontal="center"/>
    </xf>
    <xf numFmtId="0" fontId="8" fillId="0" borderId="0" xfId="0" applyFont="1" applyFill="1"/>
    <xf numFmtId="0" fontId="8" fillId="0" borderId="0" xfId="0" applyFont="1" applyFill="1" applyBorder="1"/>
    <xf numFmtId="0" fontId="7" fillId="0" borderId="0" xfId="0" applyFont="1" applyFill="1" applyBorder="1" applyAlignment="1">
      <alignment horizontal="center" vertical="center" textRotation="90" wrapText="1"/>
    </xf>
    <xf numFmtId="0" fontId="9" fillId="5" borderId="11" xfId="0" applyFont="1" applyFill="1" applyBorder="1" applyAlignment="1">
      <alignment horizontal="center" vertical="center" textRotation="90" wrapText="1"/>
    </xf>
    <xf numFmtId="0" fontId="9" fillId="5" borderId="12"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7" fillId="0" borderId="0" xfId="0" applyFont="1" applyFill="1" applyBorder="1" applyAlignment="1">
      <alignment vertical="center" textRotation="90"/>
    </xf>
    <xf numFmtId="0" fontId="6" fillId="5" borderId="40" xfId="0" applyFont="1" applyFill="1" applyBorder="1" applyAlignment="1">
      <alignment horizontal="center" vertical="center" wrapText="1"/>
    </xf>
    <xf numFmtId="49" fontId="6" fillId="5" borderId="16" xfId="0" applyNumberFormat="1" applyFont="1" applyFill="1" applyBorder="1" applyAlignment="1">
      <alignment horizontal="left" vertical="center" wrapText="1"/>
    </xf>
    <xf numFmtId="166" fontId="6" fillId="7" borderId="17" xfId="2" applyNumberFormat="1" applyFont="1" applyFill="1" applyBorder="1"/>
    <xf numFmtId="166" fontId="6" fillId="5" borderId="4" xfId="2" applyNumberFormat="1" applyFont="1" applyFill="1" applyBorder="1"/>
    <xf numFmtId="10" fontId="6" fillId="5" borderId="4" xfId="3" applyNumberFormat="1" applyFont="1" applyFill="1" applyBorder="1"/>
    <xf numFmtId="166" fontId="5" fillId="6" borderId="4" xfId="2" applyNumberFormat="1" applyFont="1" applyFill="1" applyBorder="1"/>
    <xf numFmtId="10" fontId="6" fillId="5" borderId="5" xfId="3" applyNumberFormat="1" applyFont="1" applyFill="1" applyBorder="1"/>
    <xf numFmtId="44" fontId="0" fillId="0" borderId="0" xfId="0" applyNumberFormat="1" applyFont="1"/>
    <xf numFmtId="0" fontId="6" fillId="5" borderId="42" xfId="0" applyFont="1" applyFill="1" applyBorder="1" applyAlignment="1">
      <alignment horizontal="center" vertical="center" wrapText="1"/>
    </xf>
    <xf numFmtId="49" fontId="6" fillId="5" borderId="18" xfId="0" applyNumberFormat="1" applyFont="1" applyFill="1" applyBorder="1" applyAlignment="1">
      <alignment horizontal="left" vertical="center" wrapText="1"/>
    </xf>
    <xf numFmtId="166" fontId="6" fillId="7" borderId="19" xfId="2" applyNumberFormat="1" applyFont="1" applyFill="1" applyBorder="1"/>
    <xf numFmtId="166" fontId="6" fillId="5" borderId="43" xfId="2" applyNumberFormat="1" applyFont="1" applyFill="1" applyBorder="1"/>
    <xf numFmtId="10" fontId="6" fillId="5" borderId="43" xfId="3" applyNumberFormat="1" applyFont="1" applyFill="1" applyBorder="1"/>
    <xf numFmtId="166" fontId="5" fillId="6" borderId="1" xfId="2" applyNumberFormat="1" applyFont="1" applyFill="1" applyBorder="1"/>
    <xf numFmtId="10" fontId="6" fillId="5" borderId="44" xfId="3" applyNumberFormat="1" applyFont="1" applyFill="1" applyBorder="1"/>
    <xf numFmtId="0" fontId="6" fillId="5" borderId="33" xfId="0" applyFont="1" applyFill="1" applyBorder="1" applyAlignment="1">
      <alignment horizontal="center" vertical="center" wrapText="1"/>
    </xf>
    <xf numFmtId="49" fontId="6" fillId="5" borderId="20" xfId="0" applyNumberFormat="1" applyFont="1" applyFill="1" applyBorder="1" applyAlignment="1">
      <alignment horizontal="left" vertical="center" wrapText="1"/>
    </xf>
    <xf numFmtId="166" fontId="6" fillId="7" borderId="21" xfId="2" applyNumberFormat="1" applyFont="1" applyFill="1" applyBorder="1"/>
    <xf numFmtId="166" fontId="6" fillId="5" borderId="46" xfId="2" applyNumberFormat="1" applyFont="1" applyFill="1" applyBorder="1"/>
    <xf numFmtId="10" fontId="6" fillId="5" borderId="46" xfId="3" applyNumberFormat="1" applyFont="1" applyFill="1" applyBorder="1"/>
    <xf numFmtId="166" fontId="5" fillId="6" borderId="9" xfId="2" applyNumberFormat="1" applyFont="1" applyFill="1" applyBorder="1"/>
    <xf numFmtId="10" fontId="6" fillId="5" borderId="47" xfId="3" applyNumberFormat="1" applyFont="1" applyFill="1" applyBorder="1"/>
    <xf numFmtId="0" fontId="8" fillId="0" borderId="0" xfId="0" applyFont="1" applyFill="1" applyBorder="1" applyAlignment="1"/>
    <xf numFmtId="0" fontId="6" fillId="5" borderId="0" xfId="0" applyFont="1" applyFill="1" applyBorder="1" applyAlignment="1">
      <alignment horizontal="center" vertical="center" wrapText="1"/>
    </xf>
    <xf numFmtId="49" fontId="6" fillId="5" borderId="0" xfId="0" applyNumberFormat="1" applyFont="1" applyFill="1" applyBorder="1" applyAlignment="1">
      <alignment horizontal="left" vertical="center" wrapText="1"/>
    </xf>
    <xf numFmtId="166" fontId="6" fillId="5" borderId="0" xfId="2" applyNumberFormat="1" applyFont="1" applyFill="1" applyBorder="1"/>
    <xf numFmtId="166" fontId="6" fillId="5" borderId="12" xfId="2" applyNumberFormat="1" applyFont="1" applyFill="1" applyBorder="1"/>
    <xf numFmtId="166" fontId="6" fillId="5" borderId="30" xfId="2" applyNumberFormat="1" applyFont="1" applyFill="1" applyBorder="1"/>
    <xf numFmtId="9" fontId="6" fillId="5" borderId="32" xfId="3" applyFont="1" applyFill="1" applyBorder="1"/>
    <xf numFmtId="166" fontId="6" fillId="5" borderId="32" xfId="2" applyNumberFormat="1" applyFont="1" applyFill="1" applyBorder="1"/>
    <xf numFmtId="166" fontId="5" fillId="0" borderId="32" xfId="2" applyNumberFormat="1" applyFont="1" applyFill="1" applyBorder="1"/>
    <xf numFmtId="10" fontId="6" fillId="5" borderId="32" xfId="3" applyNumberFormat="1" applyFont="1" applyFill="1" applyBorder="1"/>
    <xf numFmtId="166" fontId="5" fillId="0" borderId="0" xfId="0" applyNumberFormat="1" applyFont="1" applyFill="1" applyBorder="1"/>
    <xf numFmtId="0" fontId="6" fillId="5" borderId="16" xfId="0" applyFont="1" applyFill="1" applyBorder="1" applyAlignment="1">
      <alignment horizontal="center" vertical="center" wrapText="1"/>
    </xf>
    <xf numFmtId="49" fontId="6" fillId="5" borderId="4" xfId="0" applyNumberFormat="1" applyFont="1" applyFill="1" applyBorder="1" applyAlignment="1">
      <alignment horizontal="left" vertical="center" wrapText="1"/>
    </xf>
    <xf numFmtId="0" fontId="6" fillId="5" borderId="18" xfId="0"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0" fontId="6" fillId="5" borderId="20" xfId="0" applyFont="1" applyFill="1" applyBorder="1" applyAlignment="1">
      <alignment horizontal="center" vertical="center" wrapText="1"/>
    </xf>
    <xf numFmtId="49" fontId="6" fillId="5" borderId="9" xfId="0" applyNumberFormat="1" applyFont="1" applyFill="1" applyBorder="1" applyAlignment="1">
      <alignment horizontal="left" vertical="center" wrapText="1"/>
    </xf>
    <xf numFmtId="166" fontId="6" fillId="5" borderId="9" xfId="2" applyNumberFormat="1" applyFont="1" applyFill="1" applyBorder="1"/>
    <xf numFmtId="0" fontId="7" fillId="0" borderId="0" xfId="0" applyFont="1" applyBorder="1" applyAlignment="1">
      <alignment horizontal="center" vertical="center" textRotation="90"/>
    </xf>
    <xf numFmtId="0" fontId="6" fillId="5" borderId="0" xfId="0" applyFont="1" applyFill="1"/>
    <xf numFmtId="166" fontId="6" fillId="5" borderId="0" xfId="2" applyNumberFormat="1" applyFont="1" applyFill="1"/>
    <xf numFmtId="166" fontId="5" fillId="5" borderId="0" xfId="2" applyNumberFormat="1" applyFont="1" applyFill="1"/>
    <xf numFmtId="0" fontId="8" fillId="0" borderId="0" xfId="0" applyFont="1" applyAlignment="1">
      <alignment horizontal="center"/>
    </xf>
    <xf numFmtId="0" fontId="6" fillId="5" borderId="16" xfId="0" applyFont="1" applyFill="1" applyBorder="1" applyAlignment="1">
      <alignment horizontal="left" vertical="center" wrapText="1"/>
    </xf>
    <xf numFmtId="9" fontId="6" fillId="5" borderId="4" xfId="3" applyFont="1" applyFill="1" applyBorder="1"/>
    <xf numFmtId="166" fontId="8" fillId="0" borderId="0" xfId="0" applyNumberFormat="1" applyFont="1" applyFill="1"/>
    <xf numFmtId="0" fontId="6" fillId="5" borderId="20" xfId="0" applyFont="1" applyFill="1" applyBorder="1" applyAlignment="1">
      <alignment horizontal="left" vertical="center" wrapText="1"/>
    </xf>
    <xf numFmtId="9" fontId="6" fillId="5" borderId="9" xfId="3" applyFont="1" applyFill="1" applyBorder="1"/>
    <xf numFmtId="10" fontId="6" fillId="5" borderId="10" xfId="3" applyNumberFormat="1" applyFont="1" applyFill="1" applyBorder="1"/>
    <xf numFmtId="0" fontId="6" fillId="5" borderId="0" xfId="0" applyFont="1" applyFill="1" applyBorder="1" applyAlignment="1">
      <alignment horizontal="left" vertical="center" wrapText="1"/>
    </xf>
    <xf numFmtId="9" fontId="6" fillId="5" borderId="0" xfId="3" applyFont="1" applyFill="1" applyBorder="1"/>
    <xf numFmtId="44" fontId="6" fillId="5" borderId="0" xfId="2" applyNumberFormat="1" applyFont="1" applyFill="1" applyBorder="1"/>
    <xf numFmtId="166" fontId="5" fillId="5" borderId="0" xfId="2" applyNumberFormat="1" applyFont="1" applyFill="1" applyBorder="1"/>
    <xf numFmtId="10" fontId="6" fillId="5" borderId="0" xfId="3" applyNumberFormat="1" applyFont="1" applyFill="1" applyBorder="1"/>
    <xf numFmtId="0" fontId="7" fillId="0" borderId="0" xfId="0" applyFont="1" applyBorder="1" applyAlignment="1">
      <alignment horizontal="center"/>
    </xf>
    <xf numFmtId="166" fontId="6" fillId="5" borderId="17" xfId="3" applyNumberFormat="1" applyFont="1" applyFill="1" applyBorder="1"/>
    <xf numFmtId="44" fontId="6" fillId="5" borderId="25" xfId="3" applyNumberFormat="1" applyFont="1" applyFill="1" applyBorder="1"/>
    <xf numFmtId="0" fontId="6" fillId="5" borderId="18" xfId="0" applyFont="1" applyFill="1" applyBorder="1" applyAlignment="1">
      <alignment horizontal="left" vertical="center" wrapText="1"/>
    </xf>
    <xf numFmtId="166" fontId="6" fillId="5" borderId="1" xfId="2" applyNumberFormat="1" applyFont="1" applyFill="1" applyBorder="1"/>
    <xf numFmtId="166" fontId="6" fillId="5" borderId="19" xfId="0" applyNumberFormat="1" applyFont="1" applyFill="1" applyBorder="1"/>
    <xf numFmtId="166" fontId="6" fillId="5" borderId="48" xfId="0" applyNumberFormat="1" applyFont="1" applyFill="1" applyBorder="1"/>
    <xf numFmtId="166" fontId="6" fillId="5" borderId="48" xfId="3" applyNumberFormat="1" applyFont="1" applyFill="1" applyBorder="1"/>
    <xf numFmtId="44" fontId="6" fillId="5" borderId="22" xfId="3" applyNumberFormat="1" applyFont="1" applyFill="1" applyBorder="1"/>
    <xf numFmtId="10" fontId="6" fillId="5" borderId="7" xfId="3" applyNumberFormat="1" applyFont="1" applyFill="1" applyBorder="1"/>
    <xf numFmtId="0" fontId="6" fillId="5" borderId="0" xfId="0" applyFont="1" applyFill="1" applyBorder="1" applyAlignment="1">
      <alignment horizontal="center"/>
    </xf>
    <xf numFmtId="0" fontId="6" fillId="3" borderId="18" xfId="0" applyFont="1" applyFill="1" applyBorder="1" applyAlignment="1">
      <alignment horizontal="center" vertical="center" wrapText="1"/>
    </xf>
    <xf numFmtId="166" fontId="6" fillId="3" borderId="1" xfId="2" applyNumberFormat="1" applyFont="1" applyFill="1" applyBorder="1"/>
    <xf numFmtId="166" fontId="6" fillId="3" borderId="19" xfId="0" applyNumberFormat="1" applyFont="1" applyFill="1" applyBorder="1"/>
    <xf numFmtId="166" fontId="6" fillId="3" borderId="48" xfId="0" applyNumberFormat="1" applyFont="1" applyFill="1" applyBorder="1"/>
    <xf numFmtId="166" fontId="6" fillId="3" borderId="48" xfId="3" applyNumberFormat="1" applyFont="1" applyFill="1" applyBorder="1"/>
    <xf numFmtId="44" fontId="6" fillId="3" borderId="22" xfId="3" applyNumberFormat="1" applyFont="1" applyFill="1" applyBorder="1"/>
    <xf numFmtId="166" fontId="6" fillId="7" borderId="9" xfId="2" applyNumberFormat="1" applyFont="1" applyFill="1" applyBorder="1"/>
    <xf numFmtId="166" fontId="6" fillId="5" borderId="21" xfId="0" applyNumberFormat="1" applyFont="1" applyFill="1" applyBorder="1"/>
    <xf numFmtId="166" fontId="6" fillId="5" borderId="34" xfId="0" applyNumberFormat="1" applyFont="1" applyFill="1" applyBorder="1"/>
    <xf numFmtId="166" fontId="6" fillId="5" borderId="34" xfId="3" applyNumberFormat="1" applyFont="1" applyFill="1" applyBorder="1"/>
    <xf numFmtId="44" fontId="6" fillId="5" borderId="26" xfId="3" applyNumberFormat="1" applyFont="1" applyFill="1" applyBorder="1"/>
    <xf numFmtId="0" fontId="8" fillId="0" borderId="0" xfId="0" applyFont="1" applyFill="1" applyAlignment="1">
      <alignment horizontal="center"/>
    </xf>
    <xf numFmtId="0" fontId="5" fillId="5" borderId="0" xfId="0" applyFont="1" applyFill="1" applyBorder="1" applyAlignment="1">
      <alignment horizontal="left" vertical="top" wrapText="1"/>
    </xf>
    <xf numFmtId="166" fontId="6" fillId="5" borderId="0" xfId="0" applyNumberFormat="1" applyFont="1" applyFill="1" applyBorder="1"/>
    <xf numFmtId="166" fontId="6" fillId="5" borderId="0" xfId="3" applyNumberFormat="1" applyFont="1" applyFill="1" applyBorder="1"/>
    <xf numFmtId="44" fontId="6" fillId="5" borderId="0" xfId="3" applyNumberFormat="1" applyFont="1" applyFill="1" applyBorder="1"/>
    <xf numFmtId="0" fontId="7" fillId="0" borderId="0" xfId="0" applyFont="1"/>
    <xf numFmtId="167" fontId="0" fillId="0" borderId="0" xfId="0" applyNumberFormat="1" applyFont="1"/>
    <xf numFmtId="3" fontId="0" fillId="0" borderId="0" xfId="0" applyNumberFormat="1" applyFont="1"/>
    <xf numFmtId="8" fontId="0" fillId="0" borderId="0" xfId="0" applyNumberFormat="1" applyFont="1"/>
    <xf numFmtId="0" fontId="0" fillId="0" borderId="0" xfId="0" applyFont="1" applyAlignment="1">
      <alignment wrapText="1"/>
    </xf>
    <xf numFmtId="0" fontId="5" fillId="0" borderId="0" xfId="0" applyFont="1" applyFill="1" applyBorder="1" applyAlignment="1">
      <alignment horizontal="center" vertical="center"/>
    </xf>
    <xf numFmtId="166" fontId="7" fillId="5" borderId="4" xfId="2" applyNumberFormat="1" applyFont="1" applyFill="1" applyBorder="1"/>
    <xf numFmtId="166" fontId="7" fillId="5" borderId="1" xfId="2" applyNumberFormat="1" applyFont="1" applyFill="1" applyBorder="1"/>
    <xf numFmtId="166" fontId="7" fillId="3" borderId="1" xfId="2" applyNumberFormat="1" applyFont="1" applyFill="1" applyBorder="1"/>
    <xf numFmtId="166" fontId="7" fillId="5" borderId="9" xfId="2" applyNumberFormat="1" applyFont="1" applyFill="1" applyBorder="1"/>
    <xf numFmtId="166" fontId="8" fillId="5" borderId="4" xfId="2" applyNumberFormat="1" applyFont="1" applyFill="1" applyBorder="1"/>
    <xf numFmtId="3" fontId="2" fillId="0" borderId="9" xfId="1" applyNumberFormat="1" applyFont="1" applyFill="1" applyBorder="1" applyAlignment="1">
      <alignment horizontal="center" vertical="center"/>
    </xf>
    <xf numFmtId="44" fontId="2" fillId="0" borderId="0" xfId="0" applyNumberFormat="1" applyFont="1" applyFill="1" applyBorder="1" applyAlignment="1">
      <alignment horizontal="center" vertical="center"/>
    </xf>
    <xf numFmtId="165" fontId="2" fillId="0" borderId="0" xfId="3" applyNumberFormat="1" applyFont="1" applyFill="1" applyBorder="1" applyAlignment="1">
      <alignment horizontal="center" vertical="center"/>
    </xf>
    <xf numFmtId="165" fontId="2" fillId="2" borderId="12" xfId="3" applyNumberFormat="1" applyFont="1" applyFill="1" applyBorder="1" applyAlignment="1">
      <alignment horizontal="center" vertical="center"/>
    </xf>
    <xf numFmtId="0" fontId="2" fillId="0" borderId="0" xfId="0" applyFont="1" applyFill="1" applyBorder="1" applyAlignment="1"/>
    <xf numFmtId="167" fontId="4" fillId="0" borderId="0" xfId="0" applyNumberFormat="1" applyFont="1" applyFill="1" applyBorder="1" applyAlignment="1" applyProtection="1">
      <alignment horizontal="left"/>
      <protection locked="0"/>
    </xf>
    <xf numFmtId="166" fontId="6" fillId="5" borderId="19" xfId="2" applyNumberFormat="1" applyFont="1" applyFill="1" applyBorder="1"/>
    <xf numFmtId="166" fontId="6" fillId="3" borderId="19" xfId="2" applyNumberFormat="1" applyFont="1" applyFill="1" applyBorder="1"/>
    <xf numFmtId="166" fontId="6" fillId="5" borderId="17" xfId="2" applyNumberFormat="1" applyFont="1" applyFill="1" applyBorder="1"/>
    <xf numFmtId="166" fontId="6" fillId="5" borderId="49" xfId="2" applyNumberFormat="1" applyFont="1" applyFill="1" applyBorder="1"/>
    <xf numFmtId="166" fontId="6" fillId="5" borderId="50" xfId="2" applyNumberFormat="1" applyFont="1" applyFill="1" applyBorder="1"/>
    <xf numFmtId="167" fontId="6" fillId="0" borderId="0" xfId="0" applyNumberFormat="1" applyFont="1"/>
    <xf numFmtId="167" fontId="6" fillId="0" borderId="0" xfId="0" applyNumberFormat="1" applyFont="1" applyFill="1"/>
    <xf numFmtId="167" fontId="8" fillId="0" borderId="0" xfId="0" applyNumberFormat="1" applyFont="1" applyFill="1" applyBorder="1" applyAlignment="1">
      <alignment horizontal="center"/>
    </xf>
    <xf numFmtId="167" fontId="9" fillId="5" borderId="12" xfId="0" applyNumberFormat="1" applyFont="1" applyFill="1" applyBorder="1" applyAlignment="1">
      <alignment horizontal="center" vertical="center" wrapText="1"/>
    </xf>
    <xf numFmtId="167" fontId="6" fillId="7" borderId="17" xfId="2" applyNumberFormat="1" applyFont="1" applyFill="1" applyBorder="1"/>
    <xf numFmtId="167" fontId="6" fillId="7" borderId="49" xfId="2" applyNumberFormat="1" applyFont="1" applyFill="1" applyBorder="1"/>
    <xf numFmtId="167" fontId="6" fillId="7" borderId="50" xfId="2" applyNumberFormat="1" applyFont="1" applyFill="1" applyBorder="1"/>
    <xf numFmtId="167" fontId="6" fillId="5" borderId="0" xfId="2" applyNumberFormat="1" applyFont="1" applyFill="1" applyBorder="1"/>
    <xf numFmtId="167" fontId="6" fillId="5" borderId="0" xfId="2" applyNumberFormat="1" applyFont="1" applyFill="1"/>
    <xf numFmtId="167" fontId="8" fillId="0" borderId="0" xfId="0" applyNumberFormat="1" applyFont="1" applyFill="1"/>
    <xf numFmtId="167" fontId="0" fillId="0" borderId="0" xfId="0" applyNumberFormat="1"/>
    <xf numFmtId="0" fontId="13" fillId="0" borderId="0" xfId="0" applyFont="1" applyFill="1"/>
    <xf numFmtId="0" fontId="17" fillId="0" borderId="0" xfId="0" applyFont="1" applyFill="1"/>
    <xf numFmtId="166" fontId="17" fillId="0" borderId="0" xfId="0" applyNumberFormat="1" applyFont="1" applyFill="1"/>
    <xf numFmtId="0" fontId="0" fillId="0" borderId="0" xfId="0" applyFont="1" applyFill="1"/>
    <xf numFmtId="0" fontId="17" fillId="0" borderId="0" xfId="0" applyFont="1" applyFill="1" applyBorder="1"/>
    <xf numFmtId="166" fontId="17" fillId="0" borderId="0" xfId="2" applyNumberFormat="1" applyFont="1" applyFill="1" applyBorder="1"/>
    <xf numFmtId="166" fontId="0" fillId="0" borderId="0" xfId="2" applyNumberFormat="1" applyFont="1" applyFill="1"/>
    <xf numFmtId="166" fontId="0" fillId="0" borderId="0" xfId="0" applyNumberFormat="1" applyFont="1" applyFill="1"/>
    <xf numFmtId="0" fontId="13" fillId="0" borderId="0" xfId="0" applyFont="1" applyFill="1" applyBorder="1"/>
    <xf numFmtId="0" fontId="18" fillId="0" borderId="0" xfId="0" applyFont="1" applyAlignment="1">
      <alignment horizontal="right"/>
    </xf>
    <xf numFmtId="166" fontId="3" fillId="0" borderId="0" xfId="1" applyNumberFormat="1" applyFont="1" applyFill="1" applyBorder="1"/>
    <xf numFmtId="0" fontId="19" fillId="0" borderId="0" xfId="0" applyFont="1" applyFill="1" applyAlignment="1">
      <alignment horizontal="right"/>
    </xf>
    <xf numFmtId="0" fontId="18" fillId="0" borderId="0" xfId="0" applyFont="1"/>
    <xf numFmtId="0" fontId="19" fillId="0" borderId="0" xfId="0" applyFont="1" applyFill="1"/>
    <xf numFmtId="166" fontId="17" fillId="0" borderId="0" xfId="0" applyNumberFormat="1" applyFont="1" applyFill="1" applyBorder="1"/>
    <xf numFmtId="166" fontId="17" fillId="0" borderId="51" xfId="0" applyNumberFormat="1" applyFont="1" applyFill="1" applyBorder="1"/>
    <xf numFmtId="166" fontId="0" fillId="0" borderId="0" xfId="0" applyNumberFormat="1" applyFont="1"/>
    <xf numFmtId="166" fontId="0" fillId="0" borderId="51" xfId="0" applyNumberFormat="1" applyFont="1" applyBorder="1"/>
    <xf numFmtId="166" fontId="18" fillId="0" borderId="0" xfId="0" applyNumberFormat="1" applyFont="1" applyAlignment="1">
      <alignment horizontal="right"/>
    </xf>
    <xf numFmtId="166" fontId="19" fillId="0" borderId="0" xfId="0" applyNumberFormat="1" applyFont="1" applyFill="1"/>
    <xf numFmtId="166" fontId="19" fillId="0" borderId="0" xfId="0" applyNumberFormat="1" applyFont="1" applyFill="1" applyAlignment="1">
      <alignment horizontal="right"/>
    </xf>
    <xf numFmtId="9" fontId="0" fillId="0" borderId="0" xfId="0" applyNumberFormat="1" applyFont="1"/>
    <xf numFmtId="168" fontId="0" fillId="0" borderId="0" xfId="0" applyNumberFormat="1" applyFont="1"/>
    <xf numFmtId="9" fontId="18" fillId="0" borderId="0" xfId="0" applyNumberFormat="1" applyFont="1"/>
    <xf numFmtId="168" fontId="18" fillId="0" borderId="0" xfId="0" applyNumberFormat="1" applyFont="1"/>
    <xf numFmtId="9" fontId="20" fillId="0" borderId="0" xfId="0" applyNumberFormat="1" applyFont="1"/>
    <xf numFmtId="0" fontId="20" fillId="0" borderId="0" xfId="0" applyFont="1"/>
    <xf numFmtId="168" fontId="20" fillId="0" borderId="0" xfId="0" applyNumberFormat="1" applyFont="1"/>
    <xf numFmtId="3" fontId="20" fillId="0" borderId="0" xfId="0" applyNumberFormat="1" applyFont="1"/>
    <xf numFmtId="0" fontId="22" fillId="0" borderId="0" xfId="6"/>
    <xf numFmtId="16" fontId="0" fillId="0" borderId="0" xfId="0" applyNumberFormat="1"/>
    <xf numFmtId="6" fontId="0" fillId="0" borderId="0" xfId="0" applyNumberFormat="1"/>
    <xf numFmtId="168" fontId="6" fillId="7" borderId="49" xfId="2" applyNumberFormat="1" applyFont="1" applyFill="1" applyBorder="1"/>
    <xf numFmtId="166" fontId="6" fillId="7" borderId="21" xfId="0" applyNumberFormat="1" applyFont="1" applyFill="1" applyBorder="1"/>
    <xf numFmtId="166" fontId="6" fillId="5" borderId="21" xfId="2" applyNumberFormat="1" applyFont="1" applyFill="1" applyBorder="1" applyAlignment="1">
      <alignment horizontal="center"/>
    </xf>
    <xf numFmtId="0" fontId="2" fillId="0" borderId="0" xfId="0" applyFont="1" applyFill="1" applyBorder="1" applyAlignment="1">
      <alignment horizontal="right"/>
    </xf>
    <xf numFmtId="0" fontId="4" fillId="0" borderId="0" xfId="0" applyFont="1" applyFill="1" applyBorder="1" applyAlignment="1">
      <alignment horizontal="right" vertical="center"/>
    </xf>
    <xf numFmtId="44" fontId="2" fillId="0" borderId="0" xfId="0" applyNumberFormat="1" applyFont="1" applyFill="1" applyBorder="1" applyAlignment="1">
      <alignment horizontal="right" vertical="center" wrapText="1"/>
    </xf>
    <xf numFmtId="0" fontId="2" fillId="0" borderId="3" xfId="0" applyFont="1" applyFill="1" applyBorder="1" applyAlignment="1">
      <alignment horizontal="center" vertical="center" textRotation="90" wrapText="1"/>
    </xf>
    <xf numFmtId="0" fontId="2" fillId="0" borderId="6" xfId="0" applyFont="1" applyFill="1" applyBorder="1" applyAlignment="1">
      <alignment horizontal="center" vertical="center" textRotation="90" wrapText="1"/>
    </xf>
    <xf numFmtId="0" fontId="2" fillId="0" borderId="8" xfId="0" applyFont="1" applyFill="1" applyBorder="1" applyAlignment="1">
      <alignment horizontal="center" vertical="center" textRotation="90" wrapText="1"/>
    </xf>
    <xf numFmtId="0" fontId="5" fillId="0" borderId="0" xfId="0" applyFont="1" applyFill="1" applyBorder="1" applyAlignment="1">
      <alignment horizontal="center" vertical="center"/>
    </xf>
    <xf numFmtId="0" fontId="2" fillId="0" borderId="0" xfId="0" applyFont="1" applyFill="1" applyBorder="1" applyAlignment="1">
      <alignment horizontal="left"/>
    </xf>
    <xf numFmtId="0" fontId="16" fillId="0" borderId="35" xfId="0" applyFont="1" applyBorder="1" applyAlignment="1">
      <alignment horizontal="center" vertical="center"/>
    </xf>
    <xf numFmtId="0" fontId="8" fillId="7" borderId="0" xfId="0" applyFont="1" applyFill="1" applyBorder="1" applyAlignment="1">
      <alignment horizontal="justify" vertical="center" wrapText="1"/>
    </xf>
    <xf numFmtId="0" fontId="7" fillId="4" borderId="3"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23"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38" xfId="0" applyFont="1" applyFill="1" applyBorder="1" applyAlignment="1">
      <alignment horizontal="center" vertical="center"/>
    </xf>
    <xf numFmtId="0" fontId="7" fillId="3" borderId="14" xfId="0" applyFont="1" applyFill="1" applyBorder="1" applyAlignment="1">
      <alignment horizontal="center" vertical="center" textRotation="90"/>
    </xf>
    <xf numFmtId="0" fontId="7" fillId="3" borderId="41" xfId="0" applyFont="1" applyFill="1" applyBorder="1" applyAlignment="1">
      <alignment horizontal="center" vertical="center" textRotation="90"/>
    </xf>
    <xf numFmtId="0" fontId="7" fillId="3" borderId="45" xfId="0" applyFont="1" applyFill="1" applyBorder="1" applyAlignment="1">
      <alignment horizontal="center" vertical="center" textRotation="90"/>
    </xf>
    <xf numFmtId="15" fontId="13" fillId="0" borderId="32" xfId="0" applyNumberFormat="1" applyFont="1" applyBorder="1" applyAlignment="1">
      <alignment horizontal="left"/>
    </xf>
    <xf numFmtId="0" fontId="0" fillId="0" borderId="32" xfId="0" applyBorder="1" applyAlignment="1"/>
  </cellXfs>
  <cellStyles count="7">
    <cellStyle name="Comma" xfId="1" builtinId="3"/>
    <cellStyle name="Comma 2" xfId="5"/>
    <cellStyle name="Currency" xfId="2" builtinId="4"/>
    <cellStyle name="Hyperlink" xfId="6" builtinId="8"/>
    <cellStyle name="Normal" xfId="0" builtinId="0"/>
    <cellStyle name="Normal 2" xfId="4"/>
    <cellStyle name="Percent" xfId="3" builtinId="5"/>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355759</xdr:colOff>
      <xdr:row>19</xdr:row>
      <xdr:rowOff>110967</xdr:rowOff>
    </xdr:from>
    <xdr:ext cx="184731" cy="264560"/>
    <xdr:sp macro="" textlink="">
      <xdr:nvSpPr>
        <xdr:cNvPr id="2" name="TextBox 1"/>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19</xdr:row>
      <xdr:rowOff>110967</xdr:rowOff>
    </xdr:from>
    <xdr:ext cx="184731" cy="264560"/>
    <xdr:sp macro="" textlink="">
      <xdr:nvSpPr>
        <xdr:cNvPr id="3" name="TextBox 2"/>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19</xdr:row>
      <xdr:rowOff>110967</xdr:rowOff>
    </xdr:from>
    <xdr:ext cx="184731" cy="264560"/>
    <xdr:sp macro="" textlink="">
      <xdr:nvSpPr>
        <xdr:cNvPr id="4" name="TextBox 3"/>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organ\AppData\Local\Microsoft\Windows\INetCache\Content.Outlook\0TEIB51U\2021%20HTC%20R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HOME SF"/>
      <sheetName val="HTF"/>
      <sheetName val="HOME MF"/>
      <sheetName val="HTC"/>
      <sheetName val="FINAL for HTC"/>
    </sheetNames>
    <sheetDataSet>
      <sheetData sheetId="0">
        <row r="7">
          <cell r="B7">
            <v>198173</v>
          </cell>
          <cell r="D7">
            <v>40017</v>
          </cell>
          <cell r="F7">
            <v>4492</v>
          </cell>
          <cell r="J7">
            <v>8591</v>
          </cell>
        </row>
        <row r="8">
          <cell r="B8">
            <v>100142</v>
          </cell>
          <cell r="D8">
            <v>18125</v>
          </cell>
          <cell r="F8">
            <v>1402</v>
          </cell>
          <cell r="J8">
            <v>3983</v>
          </cell>
        </row>
        <row r="9">
          <cell r="B9">
            <v>2233165</v>
          </cell>
          <cell r="D9">
            <v>457642</v>
          </cell>
          <cell r="F9">
            <v>77940</v>
          </cell>
          <cell r="J9">
            <v>80382</v>
          </cell>
        </row>
        <row r="10">
          <cell r="B10">
            <v>207203</v>
          </cell>
          <cell r="D10">
            <v>29251</v>
          </cell>
          <cell r="F10">
            <v>2939</v>
          </cell>
          <cell r="J10">
            <v>6082</v>
          </cell>
        </row>
        <row r="11">
          <cell r="B11">
            <v>135302</v>
          </cell>
          <cell r="D11">
            <v>19921</v>
          </cell>
          <cell r="F11">
            <v>1630</v>
          </cell>
          <cell r="J11">
            <v>3258</v>
          </cell>
        </row>
        <row r="12">
          <cell r="B12">
            <v>2195301</v>
          </cell>
          <cell r="D12">
            <v>414865</v>
          </cell>
          <cell r="F12">
            <v>73495</v>
          </cell>
          <cell r="J12">
            <v>81787</v>
          </cell>
        </row>
        <row r="13">
          <cell r="B13">
            <v>540304</v>
          </cell>
          <cell r="D13">
            <v>143208</v>
          </cell>
          <cell r="F13">
            <v>19996</v>
          </cell>
          <cell r="J13">
            <v>22310</v>
          </cell>
        </row>
        <row r="14">
          <cell r="B14">
            <v>338791</v>
          </cell>
          <cell r="D14">
            <v>68023</v>
          </cell>
          <cell r="F14">
            <v>6493</v>
          </cell>
          <cell r="J14">
            <v>12962</v>
          </cell>
        </row>
        <row r="15">
          <cell r="B15">
            <v>793672</v>
          </cell>
          <cell r="D15">
            <v>132528</v>
          </cell>
          <cell r="F15">
            <v>18118</v>
          </cell>
          <cell r="J15">
            <v>24890</v>
          </cell>
        </row>
        <row r="16">
          <cell r="B16">
            <v>190242</v>
          </cell>
          <cell r="D16">
            <v>32789</v>
          </cell>
          <cell r="F16">
            <v>5462</v>
          </cell>
          <cell r="J16">
            <v>5969</v>
          </cell>
        </row>
        <row r="17">
          <cell r="B17">
            <v>875159</v>
          </cell>
          <cell r="D17">
            <v>68151</v>
          </cell>
          <cell r="F17">
            <v>23829</v>
          </cell>
          <cell r="J17">
            <v>13172</v>
          </cell>
        </row>
        <row r="18">
          <cell r="B18">
            <v>125641</v>
          </cell>
          <cell r="D18">
            <v>21504</v>
          </cell>
          <cell r="F18">
            <v>4465</v>
          </cell>
          <cell r="J18">
            <v>4325</v>
          </cell>
        </row>
        <row r="19">
          <cell r="B19">
            <v>394954</v>
          </cell>
          <cell r="D19">
            <v>46436</v>
          </cell>
          <cell r="F19">
            <v>7585</v>
          </cell>
          <cell r="J19">
            <v>11543</v>
          </cell>
        </row>
        <row r="23">
          <cell r="B23">
            <v>121455</v>
          </cell>
          <cell r="D23">
            <v>9494</v>
          </cell>
          <cell r="F23">
            <v>2542</v>
          </cell>
          <cell r="J23">
            <v>3047</v>
          </cell>
        </row>
        <row r="24">
          <cell r="B24">
            <v>95796</v>
          </cell>
          <cell r="D24">
            <v>7681</v>
          </cell>
          <cell r="F24">
            <v>895</v>
          </cell>
          <cell r="J24">
            <v>2764</v>
          </cell>
        </row>
        <row r="25">
          <cell r="B25">
            <v>90732</v>
          </cell>
          <cell r="D25">
            <v>11549</v>
          </cell>
          <cell r="F25">
            <v>1456</v>
          </cell>
          <cell r="J25">
            <v>2472</v>
          </cell>
        </row>
        <row r="26">
          <cell r="B26">
            <v>226381</v>
          </cell>
          <cell r="D26">
            <v>21152</v>
          </cell>
          <cell r="F26">
            <v>3284</v>
          </cell>
          <cell r="J26">
            <v>5481</v>
          </cell>
        </row>
        <row r="27">
          <cell r="B27">
            <v>154853</v>
          </cell>
          <cell r="D27">
            <v>17122</v>
          </cell>
          <cell r="F27">
            <v>2292</v>
          </cell>
          <cell r="J27">
            <v>3340</v>
          </cell>
        </row>
        <row r="28">
          <cell r="B28">
            <v>69928</v>
          </cell>
          <cell r="D28">
            <v>9609</v>
          </cell>
          <cell r="F28">
            <v>1529</v>
          </cell>
          <cell r="J28">
            <v>1534</v>
          </cell>
        </row>
        <row r="29">
          <cell r="B29">
            <v>37023</v>
          </cell>
          <cell r="D29">
            <v>3739</v>
          </cell>
          <cell r="F29">
            <v>636</v>
          </cell>
          <cell r="J29">
            <v>581</v>
          </cell>
        </row>
        <row r="30">
          <cell r="B30">
            <v>103590</v>
          </cell>
          <cell r="D30">
            <v>8971</v>
          </cell>
          <cell r="F30">
            <v>1555</v>
          </cell>
          <cell r="J30">
            <v>1852</v>
          </cell>
        </row>
        <row r="31">
          <cell r="B31">
            <v>75555</v>
          </cell>
          <cell r="D31">
            <v>6533</v>
          </cell>
          <cell r="F31">
            <v>1585</v>
          </cell>
          <cell r="J31">
            <v>1349</v>
          </cell>
        </row>
        <row r="32">
          <cell r="B32">
            <v>108803</v>
          </cell>
          <cell r="D32">
            <v>10862</v>
          </cell>
          <cell r="F32">
            <v>2649</v>
          </cell>
          <cell r="J32">
            <v>2736</v>
          </cell>
        </row>
        <row r="33">
          <cell r="B33">
            <v>152972</v>
          </cell>
          <cell r="D33">
            <v>9071</v>
          </cell>
          <cell r="F33">
            <v>3332</v>
          </cell>
          <cell r="J33">
            <v>2558</v>
          </cell>
        </row>
        <row r="34">
          <cell r="B34">
            <v>64820</v>
          </cell>
          <cell r="D34">
            <v>5220</v>
          </cell>
          <cell r="F34">
            <v>1110</v>
          </cell>
          <cell r="J34">
            <v>1346</v>
          </cell>
        </row>
        <row r="35">
          <cell r="B35">
            <v>12161</v>
          </cell>
          <cell r="D35">
            <v>1216</v>
          </cell>
          <cell r="F35">
            <v>222</v>
          </cell>
          <cell r="J35">
            <v>433</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2021%20IRS%20Reporting\2021%20Credit%20Returns\2021%20Credit%20Return%20Tracking.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5"/>
  <sheetViews>
    <sheetView view="pageLayout" topLeftCell="A16" zoomScale="50" zoomScaleNormal="100" zoomScalePageLayoutView="50" workbookViewId="0">
      <selection activeCell="D30" sqref="D30"/>
    </sheetView>
  </sheetViews>
  <sheetFormatPr defaultColWidth="9.140625" defaultRowHeight="12.75" x14ac:dyDescent="0.2"/>
  <cols>
    <col min="1" max="1" width="6" style="1" customWidth="1"/>
    <col min="2" max="2" width="7.5703125" style="1" bestFit="1" customWidth="1"/>
    <col min="3" max="3" width="31" style="1" customWidth="1"/>
    <col min="4" max="4" width="24.140625" style="1" customWidth="1"/>
    <col min="5" max="5" width="21.5703125" style="1" customWidth="1"/>
    <col min="6" max="7" width="21" style="1" customWidth="1"/>
    <col min="8" max="8" width="6" style="1" customWidth="1"/>
    <col min="9" max="9" width="7.7109375" style="1" bestFit="1" customWidth="1"/>
    <col min="10" max="10" width="13.28515625" style="1" customWidth="1"/>
    <col min="11" max="11" width="14.140625" style="1" customWidth="1"/>
    <col min="12" max="12" width="14.28515625" style="1" bestFit="1" customWidth="1"/>
    <col min="13" max="13" width="16.42578125" style="1" customWidth="1"/>
    <col min="14" max="14" width="19.140625" style="1" customWidth="1"/>
    <col min="15" max="15" width="14" style="1" bestFit="1" customWidth="1"/>
    <col min="16" max="16" width="17.140625" style="1" customWidth="1"/>
    <col min="17" max="17" width="14.28515625" style="1" bestFit="1" customWidth="1"/>
    <col min="18" max="18" width="6" style="1" customWidth="1"/>
    <col min="19" max="19" width="6.5703125" style="1" customWidth="1"/>
    <col min="20" max="20" width="16" style="1" customWidth="1"/>
    <col min="21" max="21" width="17.28515625" style="1" customWidth="1"/>
    <col min="22" max="22" width="17" style="1" customWidth="1"/>
    <col min="23" max="23" width="13.7109375" style="1" customWidth="1"/>
    <col min="24" max="24" width="15.85546875" style="1" customWidth="1"/>
    <col min="25" max="25" width="16" style="1" customWidth="1"/>
    <col min="26" max="26" width="16.28515625" style="1" customWidth="1"/>
    <col min="27" max="16384" width="9.140625" style="1"/>
  </cols>
  <sheetData>
    <row r="1" spans="1:26" s="87" customFormat="1" ht="16.5" thickBot="1" x14ac:dyDescent="0.3">
      <c r="A1" s="277" t="s">
        <v>16</v>
      </c>
      <c r="B1" s="277"/>
      <c r="C1" s="277"/>
      <c r="D1" s="277"/>
      <c r="E1" s="277"/>
      <c r="F1" s="277"/>
      <c r="G1" s="277"/>
      <c r="H1" s="277" t="s">
        <v>17</v>
      </c>
      <c r="I1" s="277"/>
      <c r="J1" s="277"/>
      <c r="K1" s="277"/>
      <c r="L1" s="277"/>
      <c r="M1" s="277"/>
      <c r="N1" s="277"/>
      <c r="O1" s="277"/>
      <c r="P1" s="277"/>
      <c r="Q1" s="277"/>
      <c r="R1" s="277" t="s">
        <v>23</v>
      </c>
      <c r="S1" s="277"/>
      <c r="T1" s="277"/>
      <c r="U1" s="277"/>
      <c r="V1" s="277"/>
      <c r="W1" s="277"/>
      <c r="X1" s="277"/>
      <c r="Y1" s="277"/>
      <c r="Z1" s="277"/>
    </row>
    <row r="2" spans="1:26" s="2" customFormat="1" ht="51.75" thickBot="1" x14ac:dyDescent="0.3">
      <c r="B2" s="48" t="s">
        <v>1</v>
      </c>
      <c r="C2" s="49" t="s">
        <v>5</v>
      </c>
      <c r="D2" s="50" t="s">
        <v>6</v>
      </c>
      <c r="E2" s="50" t="s">
        <v>21</v>
      </c>
      <c r="F2" s="51" t="s">
        <v>18</v>
      </c>
      <c r="G2" s="52" t="s">
        <v>13</v>
      </c>
      <c r="I2" s="48" t="s">
        <v>1</v>
      </c>
      <c r="J2" s="53" t="s">
        <v>12</v>
      </c>
      <c r="K2" s="54" t="s">
        <v>14</v>
      </c>
      <c r="L2" s="55" t="s">
        <v>11</v>
      </c>
      <c r="M2" s="56" t="s">
        <v>19</v>
      </c>
      <c r="N2" s="57" t="s">
        <v>20</v>
      </c>
      <c r="O2" s="55" t="s">
        <v>11</v>
      </c>
      <c r="P2" s="22" t="s">
        <v>29</v>
      </c>
      <c r="Q2" s="11" t="s">
        <v>28</v>
      </c>
      <c r="S2" s="12" t="s">
        <v>1</v>
      </c>
      <c r="T2" s="21" t="s">
        <v>8</v>
      </c>
      <c r="U2" s="10" t="s">
        <v>24</v>
      </c>
      <c r="V2" s="10" t="s">
        <v>25</v>
      </c>
      <c r="W2" s="10" t="s">
        <v>27</v>
      </c>
      <c r="X2" s="31" t="s">
        <v>26</v>
      </c>
      <c r="Y2" s="22" t="s">
        <v>22</v>
      </c>
      <c r="Z2" s="11" t="s">
        <v>28</v>
      </c>
    </row>
    <row r="3" spans="1:26" s="2" customFormat="1" ht="12.75" customHeight="1" x14ac:dyDescent="0.25">
      <c r="A3" s="274" t="s">
        <v>3</v>
      </c>
      <c r="B3" s="13">
        <v>1</v>
      </c>
      <c r="C3" s="68">
        <v>198173</v>
      </c>
      <c r="D3" s="69">
        <v>69291</v>
      </c>
      <c r="E3" s="70">
        <v>40017</v>
      </c>
      <c r="F3" s="71">
        <v>4492</v>
      </c>
      <c r="G3" s="82">
        <v>8591</v>
      </c>
      <c r="H3" s="274" t="s">
        <v>3</v>
      </c>
      <c r="I3" s="13">
        <v>1</v>
      </c>
      <c r="J3" s="23">
        <f t="shared" ref="J3:J15" si="0">SUM(D3:F3)</f>
        <v>113800</v>
      </c>
      <c r="K3" s="8">
        <f>J3/$J$31</f>
        <v>2.1647409729540535E-2</v>
      </c>
      <c r="L3" s="24">
        <f t="shared" ref="L3:L15" si="1">K3*($Q$32*$Q$33)</f>
        <v>2250841.7484182934</v>
      </c>
      <c r="M3" s="23">
        <f t="shared" ref="M3:M15" si="2">SUM(G3:G3)</f>
        <v>8591</v>
      </c>
      <c r="N3" s="9">
        <f>M3/$M$31</f>
        <v>2.7825371582557889E-2</v>
      </c>
      <c r="O3" s="24">
        <f t="shared" ref="O3:O15" si="3">N3*($Q$32*$Q$34)</f>
        <v>-964403.42140652379</v>
      </c>
      <c r="P3" s="35">
        <f>L3+O3</f>
        <v>1286438.3270117696</v>
      </c>
      <c r="Q3" s="32">
        <f>P3/$P$31</f>
        <v>1.8558428803031858E-2</v>
      </c>
      <c r="R3" s="274" t="s">
        <v>3</v>
      </c>
      <c r="S3" s="13">
        <v>1</v>
      </c>
      <c r="T3" s="34">
        <f>P3</f>
        <v>1286438.3270117696</v>
      </c>
      <c r="U3" s="60">
        <f>IF(T3&lt;$Z$32, $Z$32-T3, 0)</f>
        <v>0</v>
      </c>
      <c r="V3" s="60">
        <f>IF(T3&lt;$Z$32, 0, T3-$Z$32)</f>
        <v>686438.32701176964</v>
      </c>
      <c r="W3" s="61">
        <f t="shared" ref="W3:W15" si="4">IF(T3&lt;$Z$32, 0, (T3-$Z$32)/$V$31)</f>
        <v>1.2487634696993885E-2</v>
      </c>
      <c r="X3" s="66">
        <f t="shared" ref="X3:X15" si="5">IF(T3&lt;$Z$32, U3, -W3*$U$31)</f>
        <v>-15624.094796206231</v>
      </c>
      <c r="Y3" s="35">
        <f>T3+X3</f>
        <v>1270814.2322155633</v>
      </c>
      <c r="Z3" s="36">
        <f>Y3/$Y$31</f>
        <v>1.8333032338390797E-2</v>
      </c>
    </row>
    <row r="4" spans="1:26" s="2" customFormat="1" x14ac:dyDescent="0.25">
      <c r="A4" s="275"/>
      <c r="B4" s="14">
        <v>2</v>
      </c>
      <c r="C4" s="72">
        <v>100142</v>
      </c>
      <c r="D4" s="73">
        <v>35015</v>
      </c>
      <c r="E4" s="74">
        <v>18125</v>
      </c>
      <c r="F4" s="75">
        <v>1402</v>
      </c>
      <c r="G4" s="83">
        <v>3983</v>
      </c>
      <c r="H4" s="275"/>
      <c r="I4" s="14">
        <v>2</v>
      </c>
      <c r="J4" s="25">
        <f t="shared" si="0"/>
        <v>54542</v>
      </c>
      <c r="K4" s="6">
        <f t="shared" ref="K4:K15" si="6">J4/$J$31</f>
        <v>1.0375158360884006E-2</v>
      </c>
      <c r="L4" s="26">
        <f t="shared" si="1"/>
        <v>1078782.1673306727</v>
      </c>
      <c r="M4" s="25">
        <f t="shared" si="2"/>
        <v>3983</v>
      </c>
      <c r="N4" s="7">
        <f t="shared" ref="N4:N15" si="7">M4/$M$31</f>
        <v>1.2900530207580965E-2</v>
      </c>
      <c r="O4" s="26">
        <f t="shared" si="3"/>
        <v>-447121.2696382475</v>
      </c>
      <c r="P4" s="38">
        <f t="shared" ref="P4:P15" si="8">L4+O4</f>
        <v>631660.89769242518</v>
      </c>
      <c r="Q4" s="33">
        <f t="shared" ref="Q4:Q15" si="9">P4/$P$31</f>
        <v>9.1124724375355251E-3</v>
      </c>
      <c r="R4" s="275"/>
      <c r="S4" s="14">
        <v>2</v>
      </c>
      <c r="T4" s="37">
        <f t="shared" ref="T4:T15" si="10">P4</f>
        <v>631660.89769242518</v>
      </c>
      <c r="U4" s="58">
        <f t="shared" ref="U4:U15" si="11">IF(T4&lt;$Z$32, $Z$32-T4, 0)</f>
        <v>0</v>
      </c>
      <c r="V4" s="58">
        <f t="shared" ref="V4:V15" si="12">IF(T4&lt;$Z$32, 0, T4-$Z$32)</f>
        <v>31660.897692425177</v>
      </c>
      <c r="W4" s="59">
        <f t="shared" si="4"/>
        <v>5.7597268247395409E-4</v>
      </c>
      <c r="X4" s="67">
        <f t="shared" si="5"/>
        <v>-720.63701488357663</v>
      </c>
      <c r="Y4" s="38">
        <f t="shared" ref="Y4:Y15" si="13">T4+X4</f>
        <v>630940.26067754161</v>
      </c>
      <c r="Z4" s="39">
        <f t="shared" ref="Z4:Z15" si="14">Y4/$Y$31</f>
        <v>9.1020763769916729E-3</v>
      </c>
    </row>
    <row r="5" spans="1:26" s="2" customFormat="1" x14ac:dyDescent="0.25">
      <c r="A5" s="275"/>
      <c r="B5" s="14">
        <v>3</v>
      </c>
      <c r="C5" s="72">
        <v>2233165</v>
      </c>
      <c r="D5" s="73">
        <v>780827</v>
      </c>
      <c r="E5" s="74">
        <v>457642</v>
      </c>
      <c r="F5" s="75">
        <v>77940</v>
      </c>
      <c r="G5" s="83">
        <v>80382</v>
      </c>
      <c r="H5" s="275"/>
      <c r="I5" s="14">
        <v>3</v>
      </c>
      <c r="J5" s="25">
        <f t="shared" si="0"/>
        <v>1316409</v>
      </c>
      <c r="K5" s="6">
        <f t="shared" si="6"/>
        <v>0.25041164318677261</v>
      </c>
      <c r="L5" s="26">
        <f t="shared" si="1"/>
        <v>26037155.845286265</v>
      </c>
      <c r="M5" s="25">
        <f t="shared" si="2"/>
        <v>80382</v>
      </c>
      <c r="N5" s="7">
        <f t="shared" si="7"/>
        <v>0.26034908841219512</v>
      </c>
      <c r="O5" s="26">
        <f t="shared" si="3"/>
        <v>-9023475.2438015603</v>
      </c>
      <c r="P5" s="38">
        <f t="shared" si="8"/>
        <v>17013680.601484705</v>
      </c>
      <c r="Q5" s="33">
        <f t="shared" si="9"/>
        <v>0.24544292057406136</v>
      </c>
      <c r="R5" s="275"/>
      <c r="S5" s="14">
        <v>3</v>
      </c>
      <c r="T5" s="37">
        <f t="shared" si="10"/>
        <v>17013680.601484705</v>
      </c>
      <c r="U5" s="58">
        <f t="shared" si="11"/>
        <v>0</v>
      </c>
      <c r="V5" s="58">
        <f t="shared" si="12"/>
        <v>16413680.601484705</v>
      </c>
      <c r="W5" s="59">
        <f t="shared" si="4"/>
        <v>0.29859644970109822</v>
      </c>
      <c r="X5" s="67">
        <f t="shared" si="5"/>
        <v>-373593.50662809261</v>
      </c>
      <c r="Y5" s="38">
        <f t="shared" si="13"/>
        <v>16640087.094856612</v>
      </c>
      <c r="Z5" s="39">
        <f t="shared" si="14"/>
        <v>0.2400533823828776</v>
      </c>
    </row>
    <row r="6" spans="1:26" s="2" customFormat="1" x14ac:dyDescent="0.25">
      <c r="A6" s="275"/>
      <c r="B6" s="14">
        <v>4</v>
      </c>
      <c r="C6" s="72">
        <v>207203</v>
      </c>
      <c r="D6" s="73">
        <v>72449</v>
      </c>
      <c r="E6" s="74">
        <v>29251</v>
      </c>
      <c r="F6" s="75">
        <v>2939</v>
      </c>
      <c r="G6" s="83">
        <v>6082</v>
      </c>
      <c r="H6" s="275"/>
      <c r="I6" s="14">
        <v>4</v>
      </c>
      <c r="J6" s="25">
        <f t="shared" si="0"/>
        <v>104639</v>
      </c>
      <c r="K6" s="6">
        <f t="shared" si="6"/>
        <v>1.9904774223984113E-2</v>
      </c>
      <c r="L6" s="26">
        <f t="shared" si="1"/>
        <v>2069647.0097780474</v>
      </c>
      <c r="M6" s="25">
        <f t="shared" si="2"/>
        <v>6082</v>
      </c>
      <c r="N6" s="7">
        <f t="shared" si="7"/>
        <v>1.969897683216355E-2</v>
      </c>
      <c r="O6" s="26">
        <f t="shared" si="3"/>
        <v>-682749.57618373609</v>
      </c>
      <c r="P6" s="38">
        <f t="shared" si="8"/>
        <v>1386897.4335943114</v>
      </c>
      <c r="Q6" s="33">
        <f t="shared" si="9"/>
        <v>2.0007672919894394E-2</v>
      </c>
      <c r="R6" s="275"/>
      <c r="S6" s="14">
        <v>4</v>
      </c>
      <c r="T6" s="37">
        <f t="shared" si="10"/>
        <v>1386897.4335943114</v>
      </c>
      <c r="U6" s="58">
        <f t="shared" si="11"/>
        <v>0</v>
      </c>
      <c r="V6" s="58">
        <f t="shared" si="12"/>
        <v>786897.43359431135</v>
      </c>
      <c r="W6" s="59">
        <f t="shared" si="4"/>
        <v>1.4315179249248534E-2</v>
      </c>
      <c r="X6" s="67">
        <f t="shared" si="5"/>
        <v>-17910.655063347178</v>
      </c>
      <c r="Y6" s="38">
        <f t="shared" si="13"/>
        <v>1368986.7785309642</v>
      </c>
      <c r="Z6" s="39">
        <f t="shared" si="14"/>
        <v>1.9749290057825213E-2</v>
      </c>
    </row>
    <row r="7" spans="1:26" s="2" customFormat="1" x14ac:dyDescent="0.25">
      <c r="A7" s="275"/>
      <c r="B7" s="14">
        <v>5</v>
      </c>
      <c r="C7" s="72">
        <v>135302</v>
      </c>
      <c r="D7" s="73">
        <v>47308</v>
      </c>
      <c r="E7" s="74">
        <v>19921</v>
      </c>
      <c r="F7" s="75">
        <v>1630</v>
      </c>
      <c r="G7" s="83">
        <v>3258</v>
      </c>
      <c r="H7" s="275"/>
      <c r="I7" s="14">
        <v>5</v>
      </c>
      <c r="J7" s="25">
        <f t="shared" si="0"/>
        <v>68859</v>
      </c>
      <c r="K7" s="6">
        <f t="shared" si="6"/>
        <v>1.3098585119212932E-2</v>
      </c>
      <c r="L7" s="26">
        <f t="shared" si="1"/>
        <v>1361957.0470503978</v>
      </c>
      <c r="M7" s="25">
        <f t="shared" si="2"/>
        <v>3258</v>
      </c>
      <c r="N7" s="7">
        <f t="shared" si="7"/>
        <v>1.0552329253401653E-2</v>
      </c>
      <c r="O7" s="26">
        <f t="shared" si="3"/>
        <v>-365734.6463674141</v>
      </c>
      <c r="P7" s="38">
        <f t="shared" si="8"/>
        <v>996222.40068298369</v>
      </c>
      <c r="Q7" s="33">
        <f t="shared" si="9"/>
        <v>1.4371713052118573E-2</v>
      </c>
      <c r="R7" s="275"/>
      <c r="S7" s="14">
        <v>5</v>
      </c>
      <c r="T7" s="37">
        <f t="shared" si="10"/>
        <v>996222.40068298369</v>
      </c>
      <c r="U7" s="58">
        <f t="shared" si="11"/>
        <v>0</v>
      </c>
      <c r="V7" s="58">
        <f t="shared" si="12"/>
        <v>396222.40068298369</v>
      </c>
      <c r="W7" s="59">
        <f t="shared" si="4"/>
        <v>7.2080482743939285E-3</v>
      </c>
      <c r="X7" s="67">
        <f t="shared" si="5"/>
        <v>-9018.4596416703316</v>
      </c>
      <c r="Y7" s="38">
        <f t="shared" si="13"/>
        <v>987203.94104131334</v>
      </c>
      <c r="Z7" s="39">
        <f t="shared" si="14"/>
        <v>1.4241610864039545E-2</v>
      </c>
    </row>
    <row r="8" spans="1:26" s="2" customFormat="1" x14ac:dyDescent="0.25">
      <c r="A8" s="275"/>
      <c r="B8" s="14">
        <v>6</v>
      </c>
      <c r="C8" s="72">
        <v>2195301</v>
      </c>
      <c r="D8" s="73">
        <v>767588</v>
      </c>
      <c r="E8" s="74">
        <v>414865</v>
      </c>
      <c r="F8" s="75">
        <v>73495</v>
      </c>
      <c r="G8" s="83">
        <v>81787</v>
      </c>
      <c r="H8" s="275"/>
      <c r="I8" s="14">
        <v>6</v>
      </c>
      <c r="J8" s="25">
        <f t="shared" si="0"/>
        <v>1255948</v>
      </c>
      <c r="K8" s="6">
        <f t="shared" si="6"/>
        <v>0.2389105532073548</v>
      </c>
      <c r="L8" s="26">
        <f t="shared" si="1"/>
        <v>24841302.216541816</v>
      </c>
      <c r="M8" s="25">
        <f t="shared" si="2"/>
        <v>81787</v>
      </c>
      <c r="N8" s="7">
        <f t="shared" si="7"/>
        <v>0.26489973991650123</v>
      </c>
      <c r="O8" s="26">
        <f t="shared" si="3"/>
        <v>-9181196.9068298638</v>
      </c>
      <c r="P8" s="38">
        <f t="shared" si="8"/>
        <v>15660105.309711952</v>
      </c>
      <c r="Q8" s="33">
        <f t="shared" si="9"/>
        <v>0.22591595985278157</v>
      </c>
      <c r="R8" s="275"/>
      <c r="S8" s="14">
        <v>6</v>
      </c>
      <c r="T8" s="37">
        <f t="shared" si="10"/>
        <v>15660105.309711952</v>
      </c>
      <c r="U8" s="58">
        <f t="shared" si="11"/>
        <v>0</v>
      </c>
      <c r="V8" s="58">
        <f t="shared" si="12"/>
        <v>15060105.309711952</v>
      </c>
      <c r="W8" s="59">
        <f t="shared" si="4"/>
        <v>0.27397230924536686</v>
      </c>
      <c r="X8" s="67">
        <f t="shared" si="5"/>
        <v>-342784.63736736233</v>
      </c>
      <c r="Y8" s="38">
        <f t="shared" si="13"/>
        <v>15317320.67234459</v>
      </c>
      <c r="Z8" s="39">
        <f t="shared" si="14"/>
        <v>0.22097087686374134</v>
      </c>
    </row>
    <row r="9" spans="1:26" s="2" customFormat="1" x14ac:dyDescent="0.25">
      <c r="A9" s="275"/>
      <c r="B9" s="14">
        <v>7</v>
      </c>
      <c r="C9" s="72">
        <v>540304</v>
      </c>
      <c r="D9" s="73">
        <v>188917</v>
      </c>
      <c r="E9" s="74">
        <v>143208</v>
      </c>
      <c r="F9" s="75">
        <v>19996</v>
      </c>
      <c r="G9" s="83">
        <v>22310</v>
      </c>
      <c r="H9" s="275"/>
      <c r="I9" s="14">
        <v>7</v>
      </c>
      <c r="J9" s="25">
        <f t="shared" si="0"/>
        <v>352121</v>
      </c>
      <c r="K9" s="6">
        <f t="shared" si="6"/>
        <v>6.6981613017359776E-2</v>
      </c>
      <c r="L9" s="26">
        <f t="shared" si="1"/>
        <v>6964575.1080386452</v>
      </c>
      <c r="M9" s="25">
        <f t="shared" si="2"/>
        <v>22310</v>
      </c>
      <c r="N9" s="7">
        <f t="shared" si="7"/>
        <v>7.225981143136613E-2</v>
      </c>
      <c r="O9" s="26">
        <f t="shared" si="3"/>
        <v>-2504462.8485135077</v>
      </c>
      <c r="P9" s="38">
        <f t="shared" si="8"/>
        <v>4460112.259525137</v>
      </c>
      <c r="Q9" s="33">
        <f t="shared" si="9"/>
        <v>6.4342513810356591E-2</v>
      </c>
      <c r="R9" s="275"/>
      <c r="S9" s="14">
        <v>7</v>
      </c>
      <c r="T9" s="37">
        <f t="shared" si="10"/>
        <v>4460112.259525137</v>
      </c>
      <c r="U9" s="58">
        <f t="shared" si="11"/>
        <v>0</v>
      </c>
      <c r="V9" s="58">
        <f t="shared" si="12"/>
        <v>3860112.259525137</v>
      </c>
      <c r="W9" s="59">
        <f t="shared" si="4"/>
        <v>7.0222873475290479E-2</v>
      </c>
      <c r="X9" s="67">
        <f t="shared" si="5"/>
        <v>-87860.420220656597</v>
      </c>
      <c r="Y9" s="38">
        <f t="shared" si="13"/>
        <v>4372251.8393044807</v>
      </c>
      <c r="Z9" s="39">
        <f t="shared" si="14"/>
        <v>6.3075020982265029E-2</v>
      </c>
    </row>
    <row r="10" spans="1:26" s="2" customFormat="1" x14ac:dyDescent="0.25">
      <c r="A10" s="275"/>
      <c r="B10" s="14">
        <v>8</v>
      </c>
      <c r="C10" s="72">
        <v>338791</v>
      </c>
      <c r="D10" s="73">
        <v>118458</v>
      </c>
      <c r="E10" s="74">
        <v>68023</v>
      </c>
      <c r="F10" s="75">
        <v>6493</v>
      </c>
      <c r="G10" s="83">
        <v>12962</v>
      </c>
      <c r="H10" s="275"/>
      <c r="I10" s="14">
        <v>8</v>
      </c>
      <c r="J10" s="25">
        <f t="shared" si="0"/>
        <v>192974</v>
      </c>
      <c r="K10" s="6">
        <f t="shared" si="6"/>
        <v>3.6708148024150747E-2</v>
      </c>
      <c r="L10" s="26">
        <f t="shared" si="1"/>
        <v>3816818.4144048481</v>
      </c>
      <c r="M10" s="25">
        <f t="shared" si="2"/>
        <v>12962</v>
      </c>
      <c r="N10" s="7">
        <f t="shared" si="7"/>
        <v>4.198259416285826E-2</v>
      </c>
      <c r="O10" s="26">
        <f t="shared" si="3"/>
        <v>-1455080.566671093</v>
      </c>
      <c r="P10" s="38">
        <f t="shared" si="8"/>
        <v>2361737.8477337551</v>
      </c>
      <c r="Q10" s="33">
        <f t="shared" si="9"/>
        <v>3.4070924954796987E-2</v>
      </c>
      <c r="R10" s="275"/>
      <c r="S10" s="14">
        <v>8</v>
      </c>
      <c r="T10" s="37">
        <f t="shared" si="10"/>
        <v>2361737.8477337551</v>
      </c>
      <c r="U10" s="58">
        <f t="shared" si="11"/>
        <v>0</v>
      </c>
      <c r="V10" s="58">
        <f t="shared" si="12"/>
        <v>1761737.8477337551</v>
      </c>
      <c r="W10" s="59">
        <f t="shared" si="4"/>
        <v>3.2049403141777309E-2</v>
      </c>
      <c r="X10" s="67">
        <f t="shared" si="5"/>
        <v>-40099.100029687848</v>
      </c>
      <c r="Y10" s="38">
        <f t="shared" si="13"/>
        <v>2321638.7477040673</v>
      </c>
      <c r="Z10" s="39">
        <f t="shared" si="14"/>
        <v>3.3492446937358533E-2</v>
      </c>
    </row>
    <row r="11" spans="1:26" s="2" customFormat="1" x14ac:dyDescent="0.25">
      <c r="A11" s="275"/>
      <c r="B11" s="14">
        <v>9</v>
      </c>
      <c r="C11" s="72">
        <v>793672</v>
      </c>
      <c r="D11" s="73">
        <v>277508</v>
      </c>
      <c r="E11" s="74">
        <v>132528</v>
      </c>
      <c r="F11" s="75">
        <v>18118</v>
      </c>
      <c r="G11" s="83">
        <v>24890</v>
      </c>
      <c r="H11" s="275"/>
      <c r="I11" s="14">
        <v>9</v>
      </c>
      <c r="J11" s="25">
        <f t="shared" si="0"/>
        <v>428154</v>
      </c>
      <c r="K11" s="6">
        <f t="shared" si="6"/>
        <v>8.1444859976640582E-2</v>
      </c>
      <c r="L11" s="26">
        <f t="shared" si="1"/>
        <v>8468426.1682977676</v>
      </c>
      <c r="M11" s="25">
        <f t="shared" si="2"/>
        <v>24890</v>
      </c>
      <c r="N11" s="7">
        <f t="shared" si="7"/>
        <v>8.0616167930376653E-2</v>
      </c>
      <c r="O11" s="26">
        <f t="shared" si="3"/>
        <v>-2794086.9699462666</v>
      </c>
      <c r="P11" s="38">
        <f t="shared" si="8"/>
        <v>5674339.1983515006</v>
      </c>
      <c r="Q11" s="33">
        <f t="shared" si="9"/>
        <v>8.1859205999772533E-2</v>
      </c>
      <c r="R11" s="275"/>
      <c r="S11" s="14">
        <v>9</v>
      </c>
      <c r="T11" s="37">
        <f t="shared" si="10"/>
        <v>5674339.1983515006</v>
      </c>
      <c r="U11" s="58">
        <f t="shared" si="11"/>
        <v>0</v>
      </c>
      <c r="V11" s="58">
        <f t="shared" si="12"/>
        <v>5074339.1983515006</v>
      </c>
      <c r="W11" s="59">
        <f t="shared" si="4"/>
        <v>9.2311999117968627E-2</v>
      </c>
      <c r="X11" s="67">
        <f t="shared" si="5"/>
        <v>-115497.56699670649</v>
      </c>
      <c r="Y11" s="38">
        <f t="shared" si="13"/>
        <v>5558841.6313547939</v>
      </c>
      <c r="Z11" s="39">
        <f t="shared" si="14"/>
        <v>8.0193013902549543E-2</v>
      </c>
    </row>
    <row r="12" spans="1:26" s="2" customFormat="1" x14ac:dyDescent="0.25">
      <c r="A12" s="275"/>
      <c r="B12" s="14">
        <v>10</v>
      </c>
      <c r="C12" s="72">
        <v>190242</v>
      </c>
      <c r="D12" s="73">
        <v>66518</v>
      </c>
      <c r="E12" s="74">
        <v>32789</v>
      </c>
      <c r="F12" s="75">
        <v>5462</v>
      </c>
      <c r="G12" s="83">
        <v>5969</v>
      </c>
      <c r="H12" s="275"/>
      <c r="I12" s="14">
        <v>10</v>
      </c>
      <c r="J12" s="25">
        <f t="shared" si="0"/>
        <v>104769</v>
      </c>
      <c r="K12" s="6">
        <f t="shared" si="6"/>
        <v>1.9929503250915925E-2</v>
      </c>
      <c r="L12" s="26">
        <f t="shared" si="1"/>
        <v>2072218.2701233407</v>
      </c>
      <c r="M12" s="25">
        <f t="shared" si="2"/>
        <v>5969</v>
      </c>
      <c r="N12" s="7">
        <f t="shared" si="7"/>
        <v>1.9332981373098364E-2</v>
      </c>
      <c r="O12" s="26">
        <f t="shared" si="3"/>
        <v>-670064.48869462707</v>
      </c>
      <c r="P12" s="38">
        <f t="shared" si="8"/>
        <v>1402153.7814287136</v>
      </c>
      <c r="Q12" s="33">
        <f t="shared" si="9"/>
        <v>2.0227764189824703E-2</v>
      </c>
      <c r="R12" s="275"/>
      <c r="S12" s="14">
        <v>10</v>
      </c>
      <c r="T12" s="37">
        <f t="shared" si="10"/>
        <v>1402153.7814287136</v>
      </c>
      <c r="U12" s="58">
        <f t="shared" si="11"/>
        <v>0</v>
      </c>
      <c r="V12" s="58">
        <f t="shared" si="12"/>
        <v>802153.78142871358</v>
      </c>
      <c r="W12" s="59">
        <f t="shared" si="4"/>
        <v>1.4592721587823435E-2</v>
      </c>
      <c r="X12" s="67">
        <f t="shared" si="5"/>
        <v>-18257.906397412778</v>
      </c>
      <c r="Y12" s="38">
        <f t="shared" si="13"/>
        <v>1383895.8750313008</v>
      </c>
      <c r="Z12" s="39">
        <f t="shared" si="14"/>
        <v>1.9964371807264181E-2</v>
      </c>
    </row>
    <row r="13" spans="1:26" s="2" customFormat="1" x14ac:dyDescent="0.25">
      <c r="A13" s="275"/>
      <c r="B13" s="14">
        <v>11</v>
      </c>
      <c r="C13" s="72">
        <v>875159</v>
      </c>
      <c r="D13" s="73">
        <v>306000</v>
      </c>
      <c r="E13" s="74">
        <v>68151</v>
      </c>
      <c r="F13" s="75">
        <v>23829</v>
      </c>
      <c r="G13" s="83">
        <v>13172</v>
      </c>
      <c r="H13" s="275"/>
      <c r="I13" s="14">
        <v>11</v>
      </c>
      <c r="J13" s="25">
        <f t="shared" si="0"/>
        <v>397980</v>
      </c>
      <c r="K13" s="6">
        <f t="shared" si="6"/>
        <v>7.5705062602482789E-2</v>
      </c>
      <c r="L13" s="26">
        <f t="shared" si="1"/>
        <v>7871616.8632294582</v>
      </c>
      <c r="M13" s="25">
        <f t="shared" si="2"/>
        <v>13172</v>
      </c>
      <c r="N13" s="7">
        <f t="shared" si="7"/>
        <v>4.2662762715103303E-2</v>
      </c>
      <c r="O13" s="26">
        <f t="shared" si="3"/>
        <v>-1478654.6230667827</v>
      </c>
      <c r="P13" s="38">
        <f t="shared" si="8"/>
        <v>6392962.2401626753</v>
      </c>
      <c r="Q13" s="33">
        <f t="shared" si="9"/>
        <v>9.2226212546172526E-2</v>
      </c>
      <c r="R13" s="275"/>
      <c r="S13" s="14">
        <v>11</v>
      </c>
      <c r="T13" s="37">
        <f t="shared" si="10"/>
        <v>6392962.2401626753</v>
      </c>
      <c r="U13" s="58">
        <f t="shared" si="11"/>
        <v>0</v>
      </c>
      <c r="V13" s="58">
        <f t="shared" si="12"/>
        <v>5792962.2401626753</v>
      </c>
      <c r="W13" s="59">
        <f t="shared" si="4"/>
        <v>0.10538513573906329</v>
      </c>
      <c r="X13" s="67">
        <f t="shared" si="5"/>
        <v>-131854.22146393784</v>
      </c>
      <c r="Y13" s="38">
        <f t="shared" si="13"/>
        <v>6261108.018698737</v>
      </c>
      <c r="Z13" s="39">
        <f t="shared" si="14"/>
        <v>9.0324055925029428E-2</v>
      </c>
    </row>
    <row r="14" spans="1:26" s="2" customFormat="1" x14ac:dyDescent="0.25">
      <c r="A14" s="275"/>
      <c r="B14" s="14">
        <v>12</v>
      </c>
      <c r="C14" s="72">
        <v>125641</v>
      </c>
      <c r="D14" s="73">
        <v>43930</v>
      </c>
      <c r="E14" s="74">
        <v>21504</v>
      </c>
      <c r="F14" s="75">
        <v>4465</v>
      </c>
      <c r="G14" s="83">
        <v>4325</v>
      </c>
      <c r="H14" s="275"/>
      <c r="I14" s="14">
        <v>12</v>
      </c>
      <c r="J14" s="25">
        <f t="shared" si="0"/>
        <v>69899</v>
      </c>
      <c r="K14" s="6">
        <f t="shared" si="6"/>
        <v>1.3296417334667432E-2</v>
      </c>
      <c r="L14" s="26">
        <f t="shared" si="1"/>
        <v>1382527.1298127442</v>
      </c>
      <c r="M14" s="25">
        <f t="shared" si="2"/>
        <v>4325</v>
      </c>
      <c r="N14" s="7">
        <f t="shared" si="7"/>
        <v>1.4008233278380033E-2</v>
      </c>
      <c r="O14" s="26">
        <f t="shared" si="3"/>
        <v>-485513.30433979927</v>
      </c>
      <c r="P14" s="38">
        <f t="shared" si="8"/>
        <v>897013.82547294488</v>
      </c>
      <c r="Q14" s="33">
        <f t="shared" si="9"/>
        <v>1.2940509362811131E-2</v>
      </c>
      <c r="R14" s="275"/>
      <c r="S14" s="14">
        <v>12</v>
      </c>
      <c r="T14" s="37">
        <f t="shared" si="10"/>
        <v>897013.82547294488</v>
      </c>
      <c r="U14" s="58">
        <f t="shared" si="11"/>
        <v>0</v>
      </c>
      <c r="V14" s="58">
        <f t="shared" si="12"/>
        <v>297013.82547294488</v>
      </c>
      <c r="W14" s="59">
        <f t="shared" si="4"/>
        <v>5.4032532953237015E-3</v>
      </c>
      <c r="X14" s="67">
        <f t="shared" si="5"/>
        <v>-6760.3628503301461</v>
      </c>
      <c r="Y14" s="38">
        <f t="shared" si="13"/>
        <v>890253.46262261469</v>
      </c>
      <c r="Z14" s="39">
        <f t="shared" si="14"/>
        <v>1.2842982952095473E-2</v>
      </c>
    </row>
    <row r="15" spans="1:26" s="2" customFormat="1" x14ac:dyDescent="0.25">
      <c r="A15" s="275"/>
      <c r="B15" s="14">
        <v>13</v>
      </c>
      <c r="C15" s="72">
        <v>394954</v>
      </c>
      <c r="D15" s="73">
        <v>138096</v>
      </c>
      <c r="E15" s="74">
        <v>46436</v>
      </c>
      <c r="F15" s="75">
        <v>7585</v>
      </c>
      <c r="G15" s="83">
        <v>11543</v>
      </c>
      <c r="H15" s="275"/>
      <c r="I15" s="14">
        <v>13</v>
      </c>
      <c r="J15" s="25">
        <f t="shared" si="0"/>
        <v>192117</v>
      </c>
      <c r="K15" s="6">
        <f t="shared" si="6"/>
        <v>3.6545126669684874E-2</v>
      </c>
      <c r="L15" s="26">
        <f t="shared" si="1"/>
        <v>3799867.8750516456</v>
      </c>
      <c r="M15" s="25">
        <f t="shared" si="2"/>
        <v>11543</v>
      </c>
      <c r="N15" s="7">
        <f t="shared" si="7"/>
        <v>3.738659808840248E-2</v>
      </c>
      <c r="O15" s="26">
        <f t="shared" si="3"/>
        <v>-1295787.2998830758</v>
      </c>
      <c r="P15" s="38">
        <f t="shared" si="8"/>
        <v>2504080.5751685696</v>
      </c>
      <c r="Q15" s="33">
        <f t="shared" si="9"/>
        <v>3.6124390960326068E-2</v>
      </c>
      <c r="R15" s="275"/>
      <c r="S15" s="14">
        <v>13</v>
      </c>
      <c r="T15" s="37">
        <f t="shared" si="10"/>
        <v>2504080.5751685696</v>
      </c>
      <c r="U15" s="58">
        <f t="shared" si="11"/>
        <v>0</v>
      </c>
      <c r="V15" s="58">
        <f t="shared" si="12"/>
        <v>1904080.5751685696</v>
      </c>
      <c r="W15" s="59">
        <f t="shared" si="4"/>
        <v>3.4638891391534171E-2</v>
      </c>
      <c r="X15" s="67">
        <f t="shared" si="5"/>
        <v>-43338.977786330011</v>
      </c>
      <c r="Y15" s="38">
        <f t="shared" si="13"/>
        <v>2460741.5973822395</v>
      </c>
      <c r="Z15" s="39">
        <f t="shared" si="14"/>
        <v>3.5499173787644285E-2</v>
      </c>
    </row>
    <row r="16" spans="1:26" s="2" customFormat="1" ht="15" customHeight="1" thickBot="1" x14ac:dyDescent="0.3">
      <c r="A16" s="276"/>
      <c r="B16" s="15" t="s">
        <v>2</v>
      </c>
      <c r="C16" s="76">
        <f>SUM(C3:C15)</f>
        <v>8328049</v>
      </c>
      <c r="D16" s="76">
        <f>SUM(D3:D15)</f>
        <v>2911905</v>
      </c>
      <c r="E16" s="77">
        <f t="shared" ref="E16:G16" si="15">SUM(E3:E15)</f>
        <v>1492460</v>
      </c>
      <c r="F16" s="78">
        <f t="shared" si="15"/>
        <v>247846</v>
      </c>
      <c r="G16" s="84">
        <f t="shared" si="15"/>
        <v>279254</v>
      </c>
      <c r="H16" s="276"/>
      <c r="I16" s="15" t="s">
        <v>2</v>
      </c>
      <c r="J16" s="27">
        <f>SUM(J3:J15)</f>
        <v>4652211</v>
      </c>
      <c r="K16" s="19">
        <f t="shared" ref="K16:O16" si="16">SUM(K3:K15)</f>
        <v>0.8849588547036511</v>
      </c>
      <c r="L16" s="28">
        <f t="shared" si="16"/>
        <v>92015735.863363951</v>
      </c>
      <c r="M16" s="27">
        <f t="shared" si="16"/>
        <v>279254</v>
      </c>
      <c r="N16" s="19">
        <f t="shared" si="16"/>
        <v>0.90447518518398562</v>
      </c>
      <c r="O16" s="28">
        <f t="shared" si="16"/>
        <v>-31348331.165342495</v>
      </c>
      <c r="P16" s="42">
        <f>SUM(P3:P15)</f>
        <v>60667404.698021449</v>
      </c>
      <c r="Q16" s="20">
        <f>P16/$P$31</f>
        <v>0.87520068946348395</v>
      </c>
      <c r="R16" s="276"/>
      <c r="S16" s="15" t="s">
        <v>2</v>
      </c>
      <c r="T16" s="40">
        <f t="shared" ref="T16:Y16" si="17">SUM(T3:T15)</f>
        <v>60667404.698021449</v>
      </c>
      <c r="U16" s="62">
        <f t="shared" si="17"/>
        <v>0</v>
      </c>
      <c r="V16" s="62">
        <f t="shared" si="17"/>
        <v>52867404.698021457</v>
      </c>
      <c r="W16" s="63">
        <f t="shared" si="17"/>
        <v>0.9617598715983563</v>
      </c>
      <c r="X16" s="41">
        <f t="shared" si="17"/>
        <v>-1203320.5462566239</v>
      </c>
      <c r="Y16" s="42">
        <f t="shared" si="17"/>
        <v>59464084.151764818</v>
      </c>
      <c r="Z16" s="43">
        <f>Y16/$Y$31</f>
        <v>0.85784133517807259</v>
      </c>
    </row>
    <row r="17" spans="1:26" s="2" customFormat="1" ht="12.75" customHeight="1" x14ac:dyDescent="0.25">
      <c r="A17" s="274" t="s">
        <v>4</v>
      </c>
      <c r="B17" s="13">
        <v>1</v>
      </c>
      <c r="C17" s="68">
        <v>121455</v>
      </c>
      <c r="D17" s="69">
        <v>42467</v>
      </c>
      <c r="E17" s="70">
        <v>9494</v>
      </c>
      <c r="F17" s="71">
        <v>2542</v>
      </c>
      <c r="G17" s="82">
        <v>3047</v>
      </c>
      <c r="H17" s="274" t="s">
        <v>4</v>
      </c>
      <c r="I17" s="13">
        <v>1</v>
      </c>
      <c r="J17" s="23">
        <f t="shared" ref="J17:J29" si="18">SUM(D17:F17)</f>
        <v>54503</v>
      </c>
      <c r="K17" s="8">
        <f>J17/$J$31</f>
        <v>1.0367739652804462E-2</v>
      </c>
      <c r="L17" s="24">
        <f t="shared" ref="L17:L29" si="19">K17*($Q$32*$Q$33)</f>
        <v>1078010.7892270847</v>
      </c>
      <c r="M17" s="23">
        <f t="shared" ref="M17:M29" si="20">SUM(G17:G17)</f>
        <v>3047</v>
      </c>
      <c r="N17" s="9">
        <f>M17/$M$31</f>
        <v>9.8689218032887768E-3</v>
      </c>
      <c r="O17" s="24">
        <f t="shared" ref="O17:O29" si="21">N17*($Q$32*$Q$34)</f>
        <v>-342048.33256031637</v>
      </c>
      <c r="P17" s="35">
        <f>L17+O17</f>
        <v>735962.4566667683</v>
      </c>
      <c r="Q17" s="32">
        <f>P17/$P$31</f>
        <v>1.0617148577562303E-2</v>
      </c>
      <c r="R17" s="274" t="s">
        <v>4</v>
      </c>
      <c r="S17" s="13">
        <v>1</v>
      </c>
      <c r="T17" s="34">
        <f>P17</f>
        <v>735962.4566667683</v>
      </c>
      <c r="U17" s="60">
        <f>IF(T17&lt;$Z$32, $Z$32-T17, 0)</f>
        <v>0</v>
      </c>
      <c r="V17" s="60">
        <f>IF(T17&lt;$Z$32, 0, T17-$Z$32)</f>
        <v>135962.4566667683</v>
      </c>
      <c r="W17" s="61">
        <f t="shared" ref="W17:W29" si="22">IF(T17&lt;$Z$32, 0, (T17-$Z$32)/$V$31)</f>
        <v>2.4734188412112836E-3</v>
      </c>
      <c r="X17" s="66">
        <f t="shared" ref="X17:X29" si="23">IF(T17&lt;$Z$32, U17, -W17*$U$31)</f>
        <v>-3094.655744142688</v>
      </c>
      <c r="Y17" s="35">
        <f>T17+X17</f>
        <v>732867.80092262558</v>
      </c>
      <c r="Z17" s="36">
        <f>Y17/$Y$31</f>
        <v>1.0572504425494032E-2</v>
      </c>
    </row>
    <row r="18" spans="1:26" s="2" customFormat="1" x14ac:dyDescent="0.25">
      <c r="A18" s="275"/>
      <c r="B18" s="14">
        <v>2</v>
      </c>
      <c r="C18" s="72">
        <v>95796</v>
      </c>
      <c r="D18" s="73">
        <v>33495</v>
      </c>
      <c r="E18" s="74">
        <v>7681</v>
      </c>
      <c r="F18" s="75">
        <v>895</v>
      </c>
      <c r="G18" s="83">
        <v>2764</v>
      </c>
      <c r="H18" s="275"/>
      <c r="I18" s="14">
        <v>2</v>
      </c>
      <c r="J18" s="25">
        <f t="shared" si="18"/>
        <v>42071</v>
      </c>
      <c r="K18" s="6">
        <f t="shared" ref="K18:K29" si="24">J18/$J$31</f>
        <v>8.0028837849868174E-3</v>
      </c>
      <c r="L18" s="26">
        <f t="shared" si="19"/>
        <v>832119.18451411265</v>
      </c>
      <c r="M18" s="25">
        <f t="shared" si="20"/>
        <v>2764</v>
      </c>
      <c r="N18" s="7">
        <f t="shared" ref="N18:N29" si="25">M18/$M$31</f>
        <v>8.9523137066918872E-3</v>
      </c>
      <c r="O18" s="26">
        <f t="shared" si="21"/>
        <v>-310279.48513183935</v>
      </c>
      <c r="P18" s="38">
        <f t="shared" ref="P18:P29" si="26">L18+O18</f>
        <v>521839.69938227331</v>
      </c>
      <c r="Q18" s="33">
        <f t="shared" ref="Q18:Q29" si="27">P18/$P$31</f>
        <v>7.5281688241342825E-3</v>
      </c>
      <c r="R18" s="275"/>
      <c r="S18" s="14">
        <v>2</v>
      </c>
      <c r="T18" s="37">
        <f t="shared" ref="T18:T29" si="28">P18</f>
        <v>521839.69938227331</v>
      </c>
      <c r="U18" s="58">
        <f t="shared" ref="U18:U29" si="29">IF(T18&lt;$Z$32, $Z$32-T18, 0)</f>
        <v>78160.300617726694</v>
      </c>
      <c r="V18" s="58">
        <f t="shared" ref="V18:V29" si="30">IF(T18&lt;$Z$32, 0, T18-$Z$32)</f>
        <v>0</v>
      </c>
      <c r="W18" s="59">
        <f t="shared" si="22"/>
        <v>0</v>
      </c>
      <c r="X18" s="67">
        <f t="shared" si="23"/>
        <v>78160.300617726694</v>
      </c>
      <c r="Y18" s="38">
        <f t="shared" ref="Y18:Y29" si="31">T18+X18</f>
        <v>600000</v>
      </c>
      <c r="Z18" s="39">
        <f t="shared" ref="Z18:Z29" si="32">Y18/$Y$31</f>
        <v>8.6557256947438887E-3</v>
      </c>
    </row>
    <row r="19" spans="1:26" s="2" customFormat="1" x14ac:dyDescent="0.25">
      <c r="A19" s="275"/>
      <c r="B19" s="14">
        <v>3</v>
      </c>
      <c r="C19" s="72">
        <v>90732</v>
      </c>
      <c r="D19" s="73">
        <v>31724</v>
      </c>
      <c r="E19" s="74">
        <v>11549</v>
      </c>
      <c r="F19" s="75">
        <v>1456</v>
      </c>
      <c r="G19" s="83">
        <v>2472</v>
      </c>
      <c r="H19" s="275"/>
      <c r="I19" s="14">
        <v>3</v>
      </c>
      <c r="J19" s="25">
        <f t="shared" si="18"/>
        <v>44729</v>
      </c>
      <c r="K19" s="6">
        <f t="shared" si="24"/>
        <v>8.5084972741003382E-3</v>
      </c>
      <c r="L19" s="26">
        <f t="shared" si="19"/>
        <v>884691.56911249412</v>
      </c>
      <c r="M19" s="25">
        <f t="shared" si="20"/>
        <v>2472</v>
      </c>
      <c r="N19" s="7">
        <f t="shared" si="25"/>
        <v>8.006555529284495E-3</v>
      </c>
      <c r="O19" s="26">
        <f t="shared" si="21"/>
        <v>-277500.32100068987</v>
      </c>
      <c r="P19" s="38">
        <f t="shared" si="26"/>
        <v>607191.24811180425</v>
      </c>
      <c r="Q19" s="33">
        <f t="shared" si="27"/>
        <v>8.7594681465082598E-3</v>
      </c>
      <c r="R19" s="275"/>
      <c r="S19" s="14">
        <v>3</v>
      </c>
      <c r="T19" s="37">
        <f t="shared" si="28"/>
        <v>607191.24811180425</v>
      </c>
      <c r="U19" s="58">
        <f t="shared" si="29"/>
        <v>0</v>
      </c>
      <c r="V19" s="58">
        <f t="shared" si="30"/>
        <v>7191.2481118042488</v>
      </c>
      <c r="W19" s="59">
        <f t="shared" si="22"/>
        <v>1.3082264771925936E-4</v>
      </c>
      <c r="X19" s="67">
        <f t="shared" si="23"/>
        <v>-163.68075292500703</v>
      </c>
      <c r="Y19" s="38">
        <f t="shared" si="31"/>
        <v>607027.56735887926</v>
      </c>
      <c r="Z19" s="39">
        <f t="shared" si="32"/>
        <v>8.7571068536768798E-3</v>
      </c>
    </row>
    <row r="20" spans="1:26" s="2" customFormat="1" x14ac:dyDescent="0.25">
      <c r="A20" s="275"/>
      <c r="B20" s="14">
        <v>4</v>
      </c>
      <c r="C20" s="72">
        <v>226381</v>
      </c>
      <c r="D20" s="73">
        <v>79154</v>
      </c>
      <c r="E20" s="74">
        <v>21152</v>
      </c>
      <c r="F20" s="75">
        <v>3284</v>
      </c>
      <c r="G20" s="83">
        <v>5481</v>
      </c>
      <c r="H20" s="275"/>
      <c r="I20" s="14">
        <v>4</v>
      </c>
      <c r="J20" s="25">
        <f t="shared" si="18"/>
        <v>103590</v>
      </c>
      <c r="K20" s="6">
        <f t="shared" si="24"/>
        <v>1.9705229998972795E-2</v>
      </c>
      <c r="L20" s="26">
        <f t="shared" si="19"/>
        <v>2048898.9166841039</v>
      </c>
      <c r="M20" s="25">
        <f t="shared" si="20"/>
        <v>5481</v>
      </c>
      <c r="N20" s="7">
        <f t="shared" si="25"/>
        <v>1.7752399213595598E-2</v>
      </c>
      <c r="O20" s="26">
        <f t="shared" si="21"/>
        <v>-615282.87192750047</v>
      </c>
      <c r="P20" s="38">
        <f t="shared" si="26"/>
        <v>1433616.0447566034</v>
      </c>
      <c r="Q20" s="33">
        <f t="shared" si="27"/>
        <v>2.0681645391661393E-2</v>
      </c>
      <c r="R20" s="275"/>
      <c r="S20" s="14">
        <v>4</v>
      </c>
      <c r="T20" s="37">
        <f t="shared" si="28"/>
        <v>1433616.0447566034</v>
      </c>
      <c r="U20" s="58">
        <f t="shared" si="29"/>
        <v>0</v>
      </c>
      <c r="V20" s="58">
        <f t="shared" si="30"/>
        <v>833616.04475660343</v>
      </c>
      <c r="W20" s="59">
        <f t="shared" si="22"/>
        <v>1.5165080728796312E-2</v>
      </c>
      <c r="X20" s="67">
        <f t="shared" si="23"/>
        <v>-18974.022274680403</v>
      </c>
      <c r="Y20" s="38">
        <f t="shared" si="31"/>
        <v>1414642.022481923</v>
      </c>
      <c r="Z20" s="39">
        <f t="shared" si="32"/>
        <v>2.0407922171435403E-2</v>
      </c>
    </row>
    <row r="21" spans="1:26" s="2" customFormat="1" x14ac:dyDescent="0.25">
      <c r="A21" s="275"/>
      <c r="B21" s="14">
        <v>5</v>
      </c>
      <c r="C21" s="72">
        <v>154853</v>
      </c>
      <c r="D21" s="73">
        <v>54144</v>
      </c>
      <c r="E21" s="74">
        <v>17122</v>
      </c>
      <c r="F21" s="75">
        <v>2292</v>
      </c>
      <c r="G21" s="83">
        <v>3340</v>
      </c>
      <c r="H21" s="275"/>
      <c r="I21" s="14">
        <v>5</v>
      </c>
      <c r="J21" s="25">
        <f t="shared" si="18"/>
        <v>73558</v>
      </c>
      <c r="K21" s="6">
        <f t="shared" si="24"/>
        <v>1.3992444331155911E-2</v>
      </c>
      <c r="L21" s="26">
        <f t="shared" si="19"/>
        <v>1454898.2190698844</v>
      </c>
      <c r="M21" s="25">
        <f t="shared" si="20"/>
        <v>3340</v>
      </c>
      <c r="N21" s="7">
        <f t="shared" si="25"/>
        <v>1.0817918878564002E-2</v>
      </c>
      <c r="O21" s="26">
        <f t="shared" si="21"/>
        <v>-374939.75410287385</v>
      </c>
      <c r="P21" s="38">
        <f t="shared" si="26"/>
        <v>1079958.4649670105</v>
      </c>
      <c r="Q21" s="33">
        <f t="shared" si="27"/>
        <v>1.5579707057451868E-2</v>
      </c>
      <c r="R21" s="275"/>
      <c r="S21" s="14">
        <v>5</v>
      </c>
      <c r="T21" s="37">
        <f t="shared" si="28"/>
        <v>1079958.4649670105</v>
      </c>
      <c r="U21" s="58">
        <f t="shared" si="29"/>
        <v>0</v>
      </c>
      <c r="V21" s="58">
        <f t="shared" si="30"/>
        <v>479958.46496701054</v>
      </c>
      <c r="W21" s="59">
        <f t="shared" si="22"/>
        <v>8.7313684920964502E-3</v>
      </c>
      <c r="X21" s="67">
        <f t="shared" si="23"/>
        <v>-10924.384988132551</v>
      </c>
      <c r="Y21" s="38">
        <f t="shared" si="31"/>
        <v>1069034.0799788779</v>
      </c>
      <c r="Z21" s="39">
        <f t="shared" si="32"/>
        <v>1.5422109591050111E-2</v>
      </c>
    </row>
    <row r="22" spans="1:26" s="2" customFormat="1" x14ac:dyDescent="0.25">
      <c r="A22" s="275"/>
      <c r="B22" s="14">
        <v>6</v>
      </c>
      <c r="C22" s="72">
        <v>69928</v>
      </c>
      <c r="D22" s="73">
        <v>24450</v>
      </c>
      <c r="E22" s="74">
        <v>9609</v>
      </c>
      <c r="F22" s="75">
        <v>1529</v>
      </c>
      <c r="G22" s="83">
        <v>1534</v>
      </c>
      <c r="H22" s="275"/>
      <c r="I22" s="14">
        <v>6</v>
      </c>
      <c r="J22" s="25">
        <f t="shared" si="18"/>
        <v>35588</v>
      </c>
      <c r="K22" s="6">
        <f t="shared" si="24"/>
        <v>6.769666234225734E-3</v>
      </c>
      <c r="L22" s="26">
        <f t="shared" si="19"/>
        <v>703892.40898690885</v>
      </c>
      <c r="M22" s="25">
        <f t="shared" si="20"/>
        <v>1534</v>
      </c>
      <c r="N22" s="7">
        <f t="shared" si="25"/>
        <v>4.9684693292566407E-3</v>
      </c>
      <c r="O22" s="26">
        <f t="shared" si="21"/>
        <v>-172202.86909994268</v>
      </c>
      <c r="P22" s="38">
        <f t="shared" si="26"/>
        <v>531689.53988696611</v>
      </c>
      <c r="Q22" s="33">
        <f t="shared" si="27"/>
        <v>7.6702646867102802E-3</v>
      </c>
      <c r="R22" s="275"/>
      <c r="S22" s="14">
        <v>6</v>
      </c>
      <c r="T22" s="37">
        <f t="shared" si="28"/>
        <v>531689.53988696611</v>
      </c>
      <c r="U22" s="58">
        <f t="shared" si="29"/>
        <v>68310.460113033885</v>
      </c>
      <c r="V22" s="58">
        <f t="shared" si="30"/>
        <v>0</v>
      </c>
      <c r="W22" s="59">
        <f t="shared" si="22"/>
        <v>0</v>
      </c>
      <c r="X22" s="67">
        <f t="shared" si="23"/>
        <v>68310.460113033885</v>
      </c>
      <c r="Y22" s="38">
        <f t="shared" si="31"/>
        <v>600000</v>
      </c>
      <c r="Z22" s="39">
        <f t="shared" si="32"/>
        <v>8.6557256947438887E-3</v>
      </c>
    </row>
    <row r="23" spans="1:26" s="2" customFormat="1" x14ac:dyDescent="0.25">
      <c r="A23" s="275"/>
      <c r="B23" s="14">
        <v>7</v>
      </c>
      <c r="C23" s="72">
        <v>37023</v>
      </c>
      <c r="D23" s="73">
        <v>12945</v>
      </c>
      <c r="E23" s="74">
        <v>3739</v>
      </c>
      <c r="F23" s="75">
        <v>636</v>
      </c>
      <c r="G23" s="83">
        <v>581</v>
      </c>
      <c r="H23" s="275"/>
      <c r="I23" s="14">
        <v>7</v>
      </c>
      <c r="J23" s="25">
        <f t="shared" si="18"/>
        <v>17320</v>
      </c>
      <c r="K23" s="6">
        <f t="shared" si="24"/>
        <v>3.2946672804537967E-3</v>
      </c>
      <c r="L23" s="26">
        <f t="shared" si="19"/>
        <v>342570.99369600037</v>
      </c>
      <c r="M23" s="25">
        <f t="shared" si="20"/>
        <v>581</v>
      </c>
      <c r="N23" s="7">
        <f t="shared" si="25"/>
        <v>1.881799661211283E-3</v>
      </c>
      <c r="O23" s="26">
        <f t="shared" si="21"/>
        <v>-65221.556028074767</v>
      </c>
      <c r="P23" s="38">
        <f t="shared" si="26"/>
        <v>277349.43766792561</v>
      </c>
      <c r="Q23" s="33">
        <f t="shared" si="27"/>
        <v>4.0011010900750533E-3</v>
      </c>
      <c r="R23" s="275"/>
      <c r="S23" s="14">
        <v>7</v>
      </c>
      <c r="T23" s="37">
        <f t="shared" si="28"/>
        <v>277349.43766792561</v>
      </c>
      <c r="U23" s="58">
        <f t="shared" si="29"/>
        <v>322650.56233207439</v>
      </c>
      <c r="V23" s="58">
        <f t="shared" si="30"/>
        <v>0</v>
      </c>
      <c r="W23" s="59">
        <f t="shared" si="22"/>
        <v>0</v>
      </c>
      <c r="X23" s="67">
        <f t="shared" si="23"/>
        <v>322650.56233207439</v>
      </c>
      <c r="Y23" s="38">
        <f t="shared" si="31"/>
        <v>600000</v>
      </c>
      <c r="Z23" s="39">
        <f t="shared" si="32"/>
        <v>8.6557256947438887E-3</v>
      </c>
    </row>
    <row r="24" spans="1:26" s="2" customFormat="1" x14ac:dyDescent="0.25">
      <c r="A24" s="275"/>
      <c r="B24" s="14">
        <v>8</v>
      </c>
      <c r="C24" s="72">
        <v>103590</v>
      </c>
      <c r="D24" s="73">
        <v>36220</v>
      </c>
      <c r="E24" s="74">
        <v>8971</v>
      </c>
      <c r="F24" s="75">
        <v>1555</v>
      </c>
      <c r="G24" s="83">
        <v>1852</v>
      </c>
      <c r="H24" s="275"/>
      <c r="I24" s="14">
        <v>8</v>
      </c>
      <c r="J24" s="25">
        <f t="shared" si="18"/>
        <v>46746</v>
      </c>
      <c r="K24" s="6">
        <f t="shared" si="24"/>
        <v>8.892177638111615E-3</v>
      </c>
      <c r="L24" s="26">
        <f t="shared" si="19"/>
        <v>924585.66231600649</v>
      </c>
      <c r="M24" s="25">
        <f t="shared" si="20"/>
        <v>1852</v>
      </c>
      <c r="N24" s="7">
        <f t="shared" si="25"/>
        <v>5.9984388512277038E-3</v>
      </c>
      <c r="O24" s="26">
        <f t="shared" si="21"/>
        <v>-207900.72592770131</v>
      </c>
      <c r="P24" s="38">
        <f t="shared" si="26"/>
        <v>716684.93638830516</v>
      </c>
      <c r="Q24" s="33">
        <f t="shared" si="27"/>
        <v>1.0339047031553571E-2</v>
      </c>
      <c r="R24" s="275"/>
      <c r="S24" s="14">
        <v>8</v>
      </c>
      <c r="T24" s="37">
        <f t="shared" si="28"/>
        <v>716684.93638830516</v>
      </c>
      <c r="U24" s="58">
        <f t="shared" si="29"/>
        <v>0</v>
      </c>
      <c r="V24" s="58">
        <f t="shared" si="30"/>
        <v>116684.93638830516</v>
      </c>
      <c r="W24" s="59">
        <f t="shared" si="22"/>
        <v>2.1227236343318869E-3</v>
      </c>
      <c r="X24" s="67">
        <f t="shared" si="23"/>
        <v>-2655.8780820944967</v>
      </c>
      <c r="Y24" s="38">
        <f t="shared" si="31"/>
        <v>714029.05830621067</v>
      </c>
      <c r="Z24" s="39">
        <f t="shared" si="32"/>
        <v>1.0300732777958083E-2</v>
      </c>
    </row>
    <row r="25" spans="1:26" s="2" customFormat="1" x14ac:dyDescent="0.25">
      <c r="A25" s="275"/>
      <c r="B25" s="14">
        <v>9</v>
      </c>
      <c r="C25" s="72">
        <v>75555</v>
      </c>
      <c r="D25" s="73">
        <v>26418</v>
      </c>
      <c r="E25" s="74">
        <v>6533</v>
      </c>
      <c r="F25" s="75">
        <v>1585</v>
      </c>
      <c r="G25" s="83">
        <v>1349</v>
      </c>
      <c r="H25" s="275"/>
      <c r="I25" s="14">
        <v>9</v>
      </c>
      <c r="J25" s="25">
        <f t="shared" si="18"/>
        <v>34536</v>
      </c>
      <c r="K25" s="6">
        <f t="shared" si="24"/>
        <v>6.5695513393621433E-3</v>
      </c>
      <c r="L25" s="26">
        <f t="shared" si="19"/>
        <v>683084.97911576612</v>
      </c>
      <c r="M25" s="25">
        <f t="shared" si="20"/>
        <v>1349</v>
      </c>
      <c r="N25" s="7">
        <f t="shared" si="25"/>
        <v>4.369273223707437E-3</v>
      </c>
      <c r="O25" s="26">
        <f t="shared" si="21"/>
        <v>-151435.24798945416</v>
      </c>
      <c r="P25" s="38">
        <f t="shared" si="26"/>
        <v>531649.73112631193</v>
      </c>
      <c r="Q25" s="33">
        <f t="shared" si="27"/>
        <v>7.6696903971894964E-3</v>
      </c>
      <c r="R25" s="275"/>
      <c r="S25" s="14">
        <v>9</v>
      </c>
      <c r="T25" s="37">
        <f t="shared" si="28"/>
        <v>531649.73112631193</v>
      </c>
      <c r="U25" s="58">
        <f t="shared" si="29"/>
        <v>68350.268873688066</v>
      </c>
      <c r="V25" s="58">
        <f t="shared" si="30"/>
        <v>0</v>
      </c>
      <c r="W25" s="59">
        <f t="shared" si="22"/>
        <v>0</v>
      </c>
      <c r="X25" s="67">
        <f t="shared" si="23"/>
        <v>68350.268873688066</v>
      </c>
      <c r="Y25" s="38">
        <f t="shared" si="31"/>
        <v>600000</v>
      </c>
      <c r="Z25" s="39">
        <f t="shared" si="32"/>
        <v>8.6557256947438887E-3</v>
      </c>
    </row>
    <row r="26" spans="1:26" s="2" customFormat="1" x14ac:dyDescent="0.25">
      <c r="A26" s="275"/>
      <c r="B26" s="14">
        <v>10</v>
      </c>
      <c r="C26" s="72">
        <v>108803</v>
      </c>
      <c r="D26" s="73">
        <v>38043</v>
      </c>
      <c r="E26" s="74">
        <v>10862</v>
      </c>
      <c r="F26" s="75">
        <v>2649</v>
      </c>
      <c r="G26" s="83">
        <v>2736</v>
      </c>
      <c r="H26" s="275"/>
      <c r="I26" s="14">
        <v>10</v>
      </c>
      <c r="J26" s="25">
        <f t="shared" si="18"/>
        <v>51554</v>
      </c>
      <c r="K26" s="6">
        <f t="shared" si="24"/>
        <v>9.8067711880204991E-3</v>
      </c>
      <c r="L26" s="26">
        <f t="shared" si="19"/>
        <v>1019682.7372403928</v>
      </c>
      <c r="M26" s="25">
        <f t="shared" si="20"/>
        <v>2736</v>
      </c>
      <c r="N26" s="7">
        <f t="shared" si="25"/>
        <v>8.8616245663925477E-3</v>
      </c>
      <c r="O26" s="26">
        <f t="shared" si="21"/>
        <v>-307136.27761241404</v>
      </c>
      <c r="P26" s="38">
        <f t="shared" si="26"/>
        <v>712546.45962797874</v>
      </c>
      <c r="Q26" s="33">
        <f t="shared" si="27"/>
        <v>1.0279344498834473E-2</v>
      </c>
      <c r="R26" s="275"/>
      <c r="S26" s="14">
        <v>10</v>
      </c>
      <c r="T26" s="37">
        <f t="shared" si="28"/>
        <v>712546.45962797874</v>
      </c>
      <c r="U26" s="58">
        <f t="shared" si="29"/>
        <v>0</v>
      </c>
      <c r="V26" s="58">
        <f t="shared" si="30"/>
        <v>112546.45962797874</v>
      </c>
      <c r="W26" s="59">
        <f t="shared" si="22"/>
        <v>2.0474367746806644E-3</v>
      </c>
      <c r="X26" s="67">
        <f t="shared" si="23"/>
        <v>-2561.6817782594285</v>
      </c>
      <c r="Y26" s="38">
        <f t="shared" si="31"/>
        <v>709984.77784971928</v>
      </c>
      <c r="Z26" s="39">
        <f t="shared" si="32"/>
        <v>1.0242389140851411E-2</v>
      </c>
    </row>
    <row r="27" spans="1:26" s="2" customFormat="1" x14ac:dyDescent="0.25">
      <c r="A27" s="275"/>
      <c r="B27" s="14">
        <v>11</v>
      </c>
      <c r="C27" s="72">
        <v>152972</v>
      </c>
      <c r="D27" s="73">
        <v>53487</v>
      </c>
      <c r="E27" s="74">
        <v>9071</v>
      </c>
      <c r="F27" s="75">
        <v>3332</v>
      </c>
      <c r="G27" s="83">
        <v>2558</v>
      </c>
      <c r="H27" s="275"/>
      <c r="I27" s="14">
        <v>11</v>
      </c>
      <c r="J27" s="25">
        <f t="shared" si="18"/>
        <v>65890</v>
      </c>
      <c r="K27" s="6">
        <f t="shared" si="24"/>
        <v>1.2533812188747152E-2</v>
      </c>
      <c r="L27" s="26">
        <f t="shared" si="19"/>
        <v>1303233.4165490454</v>
      </c>
      <c r="M27" s="25">
        <f t="shared" si="20"/>
        <v>2558</v>
      </c>
      <c r="N27" s="7">
        <f t="shared" si="25"/>
        <v>8.2851007459181798E-3</v>
      </c>
      <c r="O27" s="26">
        <f t="shared" si="21"/>
        <v>-287154.45838178188</v>
      </c>
      <c r="P27" s="38">
        <f t="shared" si="26"/>
        <v>1016078.9581672635</v>
      </c>
      <c r="Q27" s="33">
        <f t="shared" si="27"/>
        <v>1.4658167910161638E-2</v>
      </c>
      <c r="R27" s="275"/>
      <c r="S27" s="14">
        <v>11</v>
      </c>
      <c r="T27" s="37">
        <f t="shared" si="28"/>
        <v>1016078.9581672635</v>
      </c>
      <c r="U27" s="58">
        <f t="shared" si="29"/>
        <v>0</v>
      </c>
      <c r="V27" s="58">
        <f t="shared" si="30"/>
        <v>416078.95816726354</v>
      </c>
      <c r="W27" s="59">
        <f t="shared" si="22"/>
        <v>7.5692772828075206E-3</v>
      </c>
      <c r="X27" s="67">
        <f t="shared" si="23"/>
        <v>-9470.4168303244951</v>
      </c>
      <c r="Y27" s="38">
        <f t="shared" si="31"/>
        <v>1006608.5413369391</v>
      </c>
      <c r="Z27" s="39">
        <f t="shared" si="32"/>
        <v>1.4521545692998015E-2</v>
      </c>
    </row>
    <row r="28" spans="1:26" s="2" customFormat="1" x14ac:dyDescent="0.25">
      <c r="A28" s="275"/>
      <c r="B28" s="14">
        <v>12</v>
      </c>
      <c r="C28" s="72">
        <v>64820</v>
      </c>
      <c r="D28" s="73">
        <v>22664</v>
      </c>
      <c r="E28" s="74">
        <v>5220</v>
      </c>
      <c r="F28" s="75">
        <v>1110</v>
      </c>
      <c r="G28" s="83">
        <v>1346</v>
      </c>
      <c r="H28" s="275"/>
      <c r="I28" s="14">
        <v>12</v>
      </c>
      <c r="J28" s="25">
        <f t="shared" si="18"/>
        <v>28994</v>
      </c>
      <c r="K28" s="6">
        <f t="shared" si="24"/>
        <v>5.5153338989305644E-3</v>
      </c>
      <c r="L28" s="26">
        <f t="shared" si="19"/>
        <v>573470.17270333914</v>
      </c>
      <c r="M28" s="25">
        <f t="shared" si="20"/>
        <v>1346</v>
      </c>
      <c r="N28" s="7">
        <f t="shared" si="25"/>
        <v>4.3595565301039361E-3</v>
      </c>
      <c r="O28" s="26">
        <f t="shared" si="21"/>
        <v>-151098.47575523</v>
      </c>
      <c r="P28" s="38">
        <f t="shared" si="26"/>
        <v>422371.69694810914</v>
      </c>
      <c r="Q28" s="33">
        <f t="shared" si="27"/>
        <v>6.0932225833438781E-3</v>
      </c>
      <c r="R28" s="275"/>
      <c r="S28" s="14">
        <v>12</v>
      </c>
      <c r="T28" s="37">
        <f t="shared" si="28"/>
        <v>422371.69694810914</v>
      </c>
      <c r="U28" s="58">
        <f t="shared" si="29"/>
        <v>177628.30305189086</v>
      </c>
      <c r="V28" s="58">
        <f t="shared" si="30"/>
        <v>0</v>
      </c>
      <c r="W28" s="59">
        <f t="shared" si="22"/>
        <v>0</v>
      </c>
      <c r="X28" s="67">
        <f t="shared" si="23"/>
        <v>177628.30305189086</v>
      </c>
      <c r="Y28" s="38">
        <f t="shared" si="31"/>
        <v>600000</v>
      </c>
      <c r="Z28" s="39">
        <f t="shared" si="32"/>
        <v>8.6557256947438887E-3</v>
      </c>
    </row>
    <row r="29" spans="1:26" s="2" customFormat="1" x14ac:dyDescent="0.25">
      <c r="A29" s="275"/>
      <c r="B29" s="14">
        <v>13</v>
      </c>
      <c r="C29" s="72">
        <v>12161</v>
      </c>
      <c r="D29" s="73">
        <v>4252</v>
      </c>
      <c r="E29" s="74">
        <v>1216</v>
      </c>
      <c r="F29" s="75">
        <v>222</v>
      </c>
      <c r="G29" s="83">
        <v>433</v>
      </c>
      <c r="H29" s="275"/>
      <c r="I29" s="14">
        <v>13</v>
      </c>
      <c r="J29" s="25">
        <f t="shared" si="18"/>
        <v>5690</v>
      </c>
      <c r="K29" s="6">
        <f t="shared" si="24"/>
        <v>1.0823704864770267E-3</v>
      </c>
      <c r="L29" s="26">
        <f t="shared" si="19"/>
        <v>112542.08742091466</v>
      </c>
      <c r="M29" s="25">
        <f t="shared" si="20"/>
        <v>433</v>
      </c>
      <c r="N29" s="7">
        <f t="shared" si="25"/>
        <v>1.4024427767719201E-3</v>
      </c>
      <c r="O29" s="26">
        <f t="shared" si="21"/>
        <v>-48607.459139683946</v>
      </c>
      <c r="P29" s="38">
        <f t="shared" si="26"/>
        <v>63934.628281230711</v>
      </c>
      <c r="Q29" s="33">
        <f t="shared" si="27"/>
        <v>9.2233434132957997E-4</v>
      </c>
      <c r="R29" s="275"/>
      <c r="S29" s="14">
        <v>13</v>
      </c>
      <c r="T29" s="37">
        <f t="shared" si="28"/>
        <v>63934.628281230711</v>
      </c>
      <c r="U29" s="58">
        <f t="shared" si="29"/>
        <v>536065.37171876931</v>
      </c>
      <c r="V29" s="58">
        <f t="shared" si="30"/>
        <v>0</v>
      </c>
      <c r="W29" s="59">
        <f t="shared" si="22"/>
        <v>0</v>
      </c>
      <c r="X29" s="67">
        <f t="shared" si="23"/>
        <v>536065.37171876931</v>
      </c>
      <c r="Y29" s="38">
        <f t="shared" si="31"/>
        <v>600000</v>
      </c>
      <c r="Z29" s="39">
        <f t="shared" si="32"/>
        <v>8.6557256947438887E-3</v>
      </c>
    </row>
    <row r="30" spans="1:26" s="2" customFormat="1" ht="13.5" thickBot="1" x14ac:dyDescent="0.3">
      <c r="A30" s="276"/>
      <c r="B30" s="15" t="s">
        <v>2</v>
      </c>
      <c r="C30" s="76">
        <f>SUM(C17:C29)</f>
        <v>1314069</v>
      </c>
      <c r="D30" s="214">
        <f t="shared" ref="D30:G30" si="33">SUM(D17:D29)</f>
        <v>459463</v>
      </c>
      <c r="E30" s="77">
        <f t="shared" si="33"/>
        <v>122219</v>
      </c>
      <c r="F30" s="78">
        <f t="shared" si="33"/>
        <v>23087</v>
      </c>
      <c r="G30" s="84">
        <f t="shared" si="33"/>
        <v>29493</v>
      </c>
      <c r="H30" s="276"/>
      <c r="I30" s="15" t="s">
        <v>2</v>
      </c>
      <c r="J30" s="27">
        <f>SUM(J17:J29)</f>
        <v>604769</v>
      </c>
      <c r="K30" s="19">
        <f t="shared" ref="K30:O30" si="34">SUM(K17:K29)</f>
        <v>0.11504114529634885</v>
      </c>
      <c r="L30" s="28">
        <f t="shared" si="34"/>
        <v>11961681.136636054</v>
      </c>
      <c r="M30" s="27">
        <f t="shared" si="34"/>
        <v>29493</v>
      </c>
      <c r="N30" s="19">
        <f t="shared" si="34"/>
        <v>9.5524814816014381E-2</v>
      </c>
      <c r="O30" s="28">
        <f t="shared" si="34"/>
        <v>-3310807.8346575028</v>
      </c>
      <c r="P30" s="42">
        <f>SUM(P17:P29)</f>
        <v>8650873.3019785509</v>
      </c>
      <c r="Q30" s="20">
        <f>P30/$P$31</f>
        <v>0.12479931053651608</v>
      </c>
      <c r="R30" s="276"/>
      <c r="S30" s="15" t="s">
        <v>2</v>
      </c>
      <c r="T30" s="40">
        <f t="shared" ref="T30:Y30" si="35">SUM(T17:T29)</f>
        <v>8650873.3019785509</v>
      </c>
      <c r="U30" s="62">
        <f t="shared" si="35"/>
        <v>1251165.2667071833</v>
      </c>
      <c r="V30" s="62">
        <f t="shared" si="35"/>
        <v>2102038.5686857337</v>
      </c>
      <c r="W30" s="63">
        <f t="shared" si="35"/>
        <v>3.8240128401643377E-2</v>
      </c>
      <c r="X30" s="41">
        <f t="shared" si="35"/>
        <v>1203320.5462566242</v>
      </c>
      <c r="Y30" s="42">
        <f t="shared" si="35"/>
        <v>9854193.848235175</v>
      </c>
      <c r="Z30" s="43">
        <f>Y30/$Y$31</f>
        <v>0.14215866482192727</v>
      </c>
    </row>
    <row r="31" spans="1:26" s="2" customFormat="1" ht="13.5" thickBot="1" x14ac:dyDescent="0.3">
      <c r="B31" s="16" t="s">
        <v>0</v>
      </c>
      <c r="C31" s="79">
        <f>SUM(C16,C30)</f>
        <v>9642118</v>
      </c>
      <c r="D31" s="80">
        <f>SUM(D16,D30)</f>
        <v>3371368</v>
      </c>
      <c r="E31" s="80">
        <f t="shared" ref="E31:G31" si="36">SUM(E16,E30)</f>
        <v>1614679</v>
      </c>
      <c r="F31" s="81">
        <f t="shared" si="36"/>
        <v>270933</v>
      </c>
      <c r="G31" s="85">
        <f t="shared" si="36"/>
        <v>308747</v>
      </c>
      <c r="I31" s="16" t="s">
        <v>0</v>
      </c>
      <c r="J31" s="29">
        <f t="shared" ref="J31:P31" si="37">SUM(J3:J15)+SUM(J17:J29)</f>
        <v>5256980</v>
      </c>
      <c r="K31" s="17">
        <f t="shared" si="37"/>
        <v>1</v>
      </c>
      <c r="L31" s="30">
        <f t="shared" si="37"/>
        <v>103977417</v>
      </c>
      <c r="M31" s="29">
        <f t="shared" si="37"/>
        <v>308747</v>
      </c>
      <c r="N31" s="17">
        <f t="shared" si="37"/>
        <v>1</v>
      </c>
      <c r="O31" s="30">
        <f t="shared" si="37"/>
        <v>-34659139</v>
      </c>
      <c r="P31" s="46">
        <f t="shared" si="37"/>
        <v>69318278</v>
      </c>
      <c r="Q31" s="18">
        <f>P31/$P$31</f>
        <v>1</v>
      </c>
      <c r="S31" s="16" t="s">
        <v>0</v>
      </c>
      <c r="T31" s="44">
        <f>SUM(T16,T30)</f>
        <v>69318278</v>
      </c>
      <c r="U31" s="64">
        <f>SUM(U17:U29)+SUM(U3:U15)</f>
        <v>1251165.2667071833</v>
      </c>
      <c r="V31" s="64">
        <f>SUM(V17:V29)+SUM(V3:V15)</f>
        <v>54969443.266707189</v>
      </c>
      <c r="W31" s="65">
        <f>SUM(W17:W29)+SUM(W3:W15)</f>
        <v>0.99999999999999967</v>
      </c>
      <c r="X31" s="45">
        <f>SUM(X17:X29)+SUM(X3:X15)</f>
        <v>0</v>
      </c>
      <c r="Y31" s="46">
        <f>SUM(Y17:Y29)+SUM(Y3:Y15)</f>
        <v>69318278</v>
      </c>
      <c r="Z31" s="47">
        <f>Y31/$Y$31</f>
        <v>1</v>
      </c>
    </row>
    <row r="32" spans="1:26" ht="15" customHeight="1" x14ac:dyDescent="0.2">
      <c r="A32" s="271" t="s">
        <v>7</v>
      </c>
      <c r="B32" s="271"/>
      <c r="C32" s="271"/>
      <c r="D32" s="271"/>
      <c r="E32" s="271"/>
      <c r="F32" s="271"/>
      <c r="G32" s="86">
        <v>2.86</v>
      </c>
      <c r="H32" s="272" t="s">
        <v>65</v>
      </c>
      <c r="I32" s="272"/>
      <c r="J32" s="272"/>
      <c r="K32" s="272"/>
      <c r="L32" s="272"/>
      <c r="M32" s="272"/>
      <c r="N32" s="272"/>
      <c r="O32" s="272"/>
      <c r="P32" s="272"/>
      <c r="Q32" s="4">
        <v>69318278</v>
      </c>
      <c r="R32" s="4"/>
      <c r="S32" s="273" t="s">
        <v>15</v>
      </c>
      <c r="T32" s="273"/>
      <c r="U32" s="273"/>
      <c r="V32" s="273"/>
      <c r="W32" s="273"/>
      <c r="X32" s="273"/>
      <c r="Y32" s="273"/>
      <c r="Z32" s="5">
        <v>600000</v>
      </c>
    </row>
    <row r="33" spans="8:18" ht="12.75" customHeight="1" x14ac:dyDescent="0.2">
      <c r="H33" s="271" t="s">
        <v>9</v>
      </c>
      <c r="I33" s="271"/>
      <c r="J33" s="271"/>
      <c r="K33" s="271"/>
      <c r="L33" s="271"/>
      <c r="M33" s="271"/>
      <c r="N33" s="271"/>
      <c r="O33" s="271"/>
      <c r="P33" s="271"/>
      <c r="Q33" s="3">
        <v>1.5</v>
      </c>
      <c r="R33" s="3"/>
    </row>
    <row r="34" spans="8:18" ht="12.75" customHeight="1" x14ac:dyDescent="0.2">
      <c r="H34" s="271" t="s">
        <v>10</v>
      </c>
      <c r="I34" s="271"/>
      <c r="J34" s="271"/>
      <c r="K34" s="271"/>
      <c r="L34" s="271"/>
      <c r="M34" s="271"/>
      <c r="N34" s="271"/>
      <c r="O34" s="271"/>
      <c r="P34" s="271"/>
      <c r="Q34" s="3">
        <v>-0.5</v>
      </c>
      <c r="R34" s="3"/>
    </row>
    <row r="35" spans="8:18" x14ac:dyDescent="0.2">
      <c r="R35" s="3"/>
    </row>
  </sheetData>
  <mergeCells count="14">
    <mergeCell ref="R17:R30"/>
    <mergeCell ref="A3:A16"/>
    <mergeCell ref="R1:Z1"/>
    <mergeCell ref="R3:R16"/>
    <mergeCell ref="A1:G1"/>
    <mergeCell ref="H1:Q1"/>
    <mergeCell ref="H3:H16"/>
    <mergeCell ref="H17:H30"/>
    <mergeCell ref="A17:A30"/>
    <mergeCell ref="A32:F32"/>
    <mergeCell ref="H32:P32"/>
    <mergeCell ref="H33:P33"/>
    <mergeCell ref="H34:P34"/>
    <mergeCell ref="S32:Y32"/>
  </mergeCells>
  <pageMargins left="0.25" right="0.25" top="0.75" bottom="0.75" header="0.3" footer="0.3"/>
  <pageSetup orientation="landscape" r:id="rId1"/>
  <headerFooter>
    <oddHeader>&amp;CTexas Department of Housing and Community Affairs 
&amp;"-,Bold"&amp;KFF0000DRAFT &amp;"-,Regular"&amp;K01+0002021 HTC Regional Allocation Formula</oddHeader>
    <oddFooter>&amp;LAs presented to the Board 07/25/2020</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view="pageLayout" zoomScale="90" zoomScaleNormal="100" zoomScalePageLayoutView="90" workbookViewId="0">
      <selection activeCell="T17" sqref="T17:T29"/>
    </sheetView>
  </sheetViews>
  <sheetFormatPr defaultColWidth="9.140625" defaultRowHeight="12.75" x14ac:dyDescent="0.2"/>
  <cols>
    <col min="1" max="1" width="6" style="1" customWidth="1"/>
    <col min="2" max="2" width="7.5703125" style="1" bestFit="1" customWidth="1"/>
    <col min="3" max="3" width="31" style="1" customWidth="1"/>
    <col min="4" max="4" width="24.140625" style="1" customWidth="1"/>
    <col min="5" max="5" width="21.5703125" style="1" customWidth="1"/>
    <col min="6" max="7" width="21" style="1" customWidth="1"/>
    <col min="8" max="8" width="6" style="1" customWidth="1"/>
    <col min="9" max="9" width="7.5703125" style="1" bestFit="1" customWidth="1"/>
    <col min="10" max="10" width="10.7109375" style="1" customWidth="1"/>
    <col min="11" max="11" width="14.140625" style="1" customWidth="1"/>
    <col min="12" max="12" width="12.85546875" style="1" bestFit="1" customWidth="1"/>
    <col min="13" max="13" width="16.42578125" style="1" customWidth="1"/>
    <col min="14" max="14" width="19.140625" style="1" customWidth="1"/>
    <col min="15" max="15" width="13.7109375" style="1" bestFit="1" customWidth="1"/>
    <col min="16" max="16" width="17.140625" style="1" customWidth="1"/>
    <col min="17" max="17" width="13.5703125" style="1" bestFit="1" customWidth="1"/>
    <col min="18" max="18" width="6" style="1" customWidth="1"/>
    <col min="19" max="19" width="7.5703125" style="1" bestFit="1" customWidth="1"/>
    <col min="20" max="20" width="16" style="1" customWidth="1"/>
    <col min="21" max="21" width="19.140625" style="1" bestFit="1" customWidth="1"/>
    <col min="22" max="22" width="17" style="1" customWidth="1"/>
    <col min="23" max="23" width="19.28515625" style="1" bestFit="1" customWidth="1"/>
    <col min="24" max="24" width="15.85546875" style="1" customWidth="1"/>
    <col min="25" max="25" width="16" style="1" customWidth="1"/>
    <col min="26" max="26" width="11.7109375" style="1" customWidth="1"/>
    <col min="27" max="28" width="9.140625" style="1"/>
    <col min="29" max="29" width="14.5703125" style="1" bestFit="1" customWidth="1"/>
    <col min="30" max="16384" width="9.140625" style="1"/>
  </cols>
  <sheetData>
    <row r="1" spans="1:30" s="208" customFormat="1" ht="16.5" thickBot="1" x14ac:dyDescent="0.3">
      <c r="A1" s="277" t="s">
        <v>16</v>
      </c>
      <c r="B1" s="277"/>
      <c r="C1" s="277"/>
      <c r="D1" s="277"/>
      <c r="E1" s="277"/>
      <c r="F1" s="277"/>
      <c r="G1" s="277"/>
      <c r="H1" s="277" t="s">
        <v>17</v>
      </c>
      <c r="I1" s="277"/>
      <c r="J1" s="277"/>
      <c r="K1" s="277"/>
      <c r="L1" s="277"/>
      <c r="M1" s="277"/>
      <c r="N1" s="277"/>
      <c r="O1" s="277"/>
      <c r="P1" s="277"/>
      <c r="Q1" s="277"/>
      <c r="R1" s="277" t="s">
        <v>23</v>
      </c>
      <c r="S1" s="277"/>
      <c r="T1" s="277"/>
      <c r="U1" s="277"/>
      <c r="V1" s="277"/>
      <c r="W1" s="277"/>
      <c r="X1" s="277"/>
      <c r="Y1" s="277"/>
      <c r="Z1" s="277"/>
    </row>
    <row r="2" spans="1:30" s="2" customFormat="1" ht="26.25" thickBot="1" x14ac:dyDescent="0.3">
      <c r="B2" s="48" t="s">
        <v>1</v>
      </c>
      <c r="C2" s="49" t="s">
        <v>5</v>
      </c>
      <c r="D2" s="50" t="s">
        <v>6</v>
      </c>
      <c r="E2" s="50" t="s">
        <v>21</v>
      </c>
      <c r="F2" s="51" t="s">
        <v>18</v>
      </c>
      <c r="G2" s="52" t="s">
        <v>13</v>
      </c>
      <c r="I2" s="48" t="s">
        <v>1</v>
      </c>
      <c r="J2" s="53" t="s">
        <v>12</v>
      </c>
      <c r="K2" s="54" t="s">
        <v>14</v>
      </c>
      <c r="L2" s="55" t="s">
        <v>11</v>
      </c>
      <c r="M2" s="56" t="s">
        <v>19</v>
      </c>
      <c r="N2" s="57" t="s">
        <v>20</v>
      </c>
      <c r="O2" s="55" t="s">
        <v>11</v>
      </c>
      <c r="P2" s="22" t="s">
        <v>29</v>
      </c>
      <c r="Q2" s="11" t="s">
        <v>28</v>
      </c>
      <c r="S2" s="12" t="s">
        <v>1</v>
      </c>
      <c r="T2" s="21" t="s">
        <v>8</v>
      </c>
      <c r="U2" s="10" t="s">
        <v>24</v>
      </c>
      <c r="V2" s="10" t="s">
        <v>25</v>
      </c>
      <c r="W2" s="10" t="s">
        <v>27</v>
      </c>
      <c r="X2" s="31" t="s">
        <v>26</v>
      </c>
      <c r="Y2" s="22" t="s">
        <v>22</v>
      </c>
      <c r="Z2" s="11" t="s">
        <v>28</v>
      </c>
    </row>
    <row r="3" spans="1:30" s="2" customFormat="1" ht="12.75" customHeight="1" x14ac:dyDescent="0.25">
      <c r="A3" s="274" t="s">
        <v>3</v>
      </c>
      <c r="B3" s="13">
        <v>1</v>
      </c>
      <c r="C3" s="68">
        <f>[1]Variables!B7</f>
        <v>198173</v>
      </c>
      <c r="D3" s="69">
        <f>C3/$G$33</f>
        <v>69291.258741258745</v>
      </c>
      <c r="E3" s="70">
        <f>[1]Variables!D7</f>
        <v>40017</v>
      </c>
      <c r="F3" s="71">
        <f>[1]Variables!F7</f>
        <v>4492</v>
      </c>
      <c r="G3" s="82">
        <f>[1]Variables!J7</f>
        <v>8591</v>
      </c>
      <c r="H3" s="274" t="s">
        <v>3</v>
      </c>
      <c r="I3" s="13">
        <v>1</v>
      </c>
      <c r="J3" s="23">
        <f t="shared" ref="J3:J15" si="0">SUM(D3:F3)</f>
        <v>113800.25874125875</v>
      </c>
      <c r="K3" s="8">
        <f>J3/$J$31</f>
        <v>2.1647451000415544E-2</v>
      </c>
      <c r="L3" s="24">
        <f t="shared" ref="L3:L15" si="1">K3*($Q$33*$Q$34)</f>
        <v>2278618.1823217864</v>
      </c>
      <c r="M3" s="23">
        <f t="shared" ref="M3:M15" si="2">SUM(G3:G3)</f>
        <v>8591</v>
      </c>
      <c r="N3" s="9">
        <f>M3/$M$31</f>
        <v>2.7825371582557889E-2</v>
      </c>
      <c r="O3" s="24">
        <f t="shared" ref="O3:O15" si="3">N3*($Q$33*$Q$35)</f>
        <v>-976302.7467862037</v>
      </c>
      <c r="P3" s="35">
        <f>L3+O3</f>
        <v>1302315.4355355827</v>
      </c>
      <c r="Q3" s="32">
        <f>P3/$P$31</f>
        <v>1.8558490709344372E-2</v>
      </c>
      <c r="R3" s="274" t="s">
        <v>3</v>
      </c>
      <c r="S3" s="13">
        <v>1</v>
      </c>
      <c r="T3" s="34">
        <f>P3</f>
        <v>1302315.4355355827</v>
      </c>
      <c r="U3" s="60">
        <f>IF(T3&lt;$Z$33, $Z$33-T3, 0)</f>
        <v>0</v>
      </c>
      <c r="V3" s="60">
        <f>IF(T3&lt;$Z$33, 0, T3-$Z$33)</f>
        <v>702315.43553558271</v>
      </c>
      <c r="W3" s="61">
        <f>IF(T3&lt;$Z$33, 0, (T3-$Z$33)/$V$31)</f>
        <v>1.2587260721328252E-2</v>
      </c>
      <c r="X3" s="66">
        <f>IF(T3&lt;$Z$33, U3, -W3*$U$31)</f>
        <v>-15383.756975489123</v>
      </c>
      <c r="Y3" s="35">
        <f>T3+X3</f>
        <v>1286931.6785600935</v>
      </c>
      <c r="Z3" s="36">
        <f>Y3/$Y$31</f>
        <v>1.8339266316302439E-2</v>
      </c>
      <c r="AC3" s="215">
        <f>Y3+Y17</f>
        <v>2028793.1215400379</v>
      </c>
      <c r="AD3" s="216">
        <f>Z3+Z17</f>
        <v>2.8911074283472872E-2</v>
      </c>
    </row>
    <row r="4" spans="1:30" s="2" customFormat="1" x14ac:dyDescent="0.25">
      <c r="A4" s="275"/>
      <c r="B4" s="14">
        <v>2</v>
      </c>
      <c r="C4" s="72">
        <f>[1]Variables!B8</f>
        <v>100142</v>
      </c>
      <c r="D4" s="73">
        <f t="shared" ref="D4:D15" si="4">C4/$G$33</f>
        <v>35014.685314685317</v>
      </c>
      <c r="E4" s="74">
        <f>[1]Variables!D8</f>
        <v>18125</v>
      </c>
      <c r="F4" s="75">
        <f>[1]Variables!F8</f>
        <v>1402</v>
      </c>
      <c r="G4" s="83">
        <f>[1]Variables!J8</f>
        <v>3983</v>
      </c>
      <c r="H4" s="275"/>
      <c r="I4" s="14">
        <v>2</v>
      </c>
      <c r="J4" s="25">
        <f t="shared" si="0"/>
        <v>54541.685314685317</v>
      </c>
      <c r="K4" s="6">
        <f t="shared" ref="K4:K15" si="5">J4/$J$31</f>
        <v>1.0375094691253729E-2</v>
      </c>
      <c r="L4" s="26">
        <f t="shared" si="1"/>
        <v>1092086.0569841308</v>
      </c>
      <c r="M4" s="25">
        <f t="shared" si="2"/>
        <v>3983</v>
      </c>
      <c r="N4" s="7">
        <f t="shared" ref="N4:N15" si="6">M4/$M$31</f>
        <v>1.2900530207580965E-2</v>
      </c>
      <c r="O4" s="26">
        <f t="shared" si="3"/>
        <v>-452638.09107780806</v>
      </c>
      <c r="P4" s="38">
        <f t="shared" ref="P4:P15" si="7">L4+O4</f>
        <v>639447.9659063227</v>
      </c>
      <c r="Q4" s="33">
        <f t="shared" ref="Q4:Q15" si="8">P4/$P$31</f>
        <v>9.1123769330901123E-3</v>
      </c>
      <c r="R4" s="275"/>
      <c r="S4" s="14">
        <v>2</v>
      </c>
      <c r="T4" s="37">
        <f t="shared" ref="T4:T15" si="9">P4</f>
        <v>639447.9659063227</v>
      </c>
      <c r="U4" s="58">
        <f t="shared" ref="U4:U15" si="10">IF(T4&lt;$Z$33, $Z$33-T4, 0)</f>
        <v>0</v>
      </c>
      <c r="V4" s="58">
        <f t="shared" ref="V4:V15" si="11">IF(T4&lt;$Z$33, 0, T4-$Z$33)</f>
        <v>39447.965906322701</v>
      </c>
      <c r="W4" s="59">
        <f t="shared" ref="W4:W15" si="12">IF(T4&lt;$Z$33, 0, (T4-$Z$33)/$V$31)</f>
        <v>7.0700686139738781E-4</v>
      </c>
      <c r="X4" s="67">
        <f t="shared" ref="X4:X15" si="13">IF(T4&lt;$Z$33, U4, -W4*$U$31)</f>
        <v>-864.08170741322488</v>
      </c>
      <c r="Y4" s="38">
        <f t="shared" ref="Y4:Y15" si="14">T4+X4</f>
        <v>638583.88419890951</v>
      </c>
      <c r="Z4" s="39">
        <f t="shared" ref="Z4:Z15" si="15">Y4/$Y$31</f>
        <v>9.1000634398291282E-3</v>
      </c>
      <c r="AC4" s="215">
        <f t="shared" ref="AC4:AD16" si="16">Y4+Y18</f>
        <v>1238583.8841989096</v>
      </c>
      <c r="AD4" s="216">
        <f t="shared" si="16"/>
        <v>1.7650291842080439E-2</v>
      </c>
    </row>
    <row r="5" spans="1:30" s="2" customFormat="1" x14ac:dyDescent="0.25">
      <c r="A5" s="275"/>
      <c r="B5" s="14">
        <v>3</v>
      </c>
      <c r="C5" s="72">
        <f>[1]Variables!B9</f>
        <v>2233165</v>
      </c>
      <c r="D5" s="73">
        <f t="shared" si="4"/>
        <v>780826.92307692312</v>
      </c>
      <c r="E5" s="74">
        <f>[1]Variables!D9</f>
        <v>457642</v>
      </c>
      <c r="F5" s="75">
        <f>[1]Variables!F9</f>
        <v>77940</v>
      </c>
      <c r="G5" s="83">
        <f>[1]Variables!J9</f>
        <v>80382</v>
      </c>
      <c r="H5" s="275"/>
      <c r="I5" s="14">
        <v>3</v>
      </c>
      <c r="J5" s="25">
        <f t="shared" si="0"/>
        <v>1316408.923076923</v>
      </c>
      <c r="K5" s="6">
        <f t="shared" si="5"/>
        <v>0.25041153661705884</v>
      </c>
      <c r="L5" s="26">
        <f t="shared" si="1"/>
        <v>26358404.986703284</v>
      </c>
      <c r="M5" s="25">
        <f t="shared" si="2"/>
        <v>80382</v>
      </c>
      <c r="N5" s="7">
        <f t="shared" si="6"/>
        <v>0.26034908841219512</v>
      </c>
      <c r="O5" s="26">
        <f t="shared" si="3"/>
        <v>-9134811.7090174165</v>
      </c>
      <c r="P5" s="38">
        <f t="shared" si="7"/>
        <v>17223593.277685866</v>
      </c>
      <c r="Q5" s="33">
        <f t="shared" si="8"/>
        <v>0.2454427607194907</v>
      </c>
      <c r="R5" s="275"/>
      <c r="S5" s="14">
        <v>3</v>
      </c>
      <c r="T5" s="37">
        <f t="shared" si="9"/>
        <v>17223593.277685866</v>
      </c>
      <c r="U5" s="58">
        <f t="shared" si="10"/>
        <v>0</v>
      </c>
      <c r="V5" s="58">
        <f t="shared" si="11"/>
        <v>16623593.277685866</v>
      </c>
      <c r="W5" s="59">
        <f t="shared" si="12"/>
        <v>0.29793664231796635</v>
      </c>
      <c r="X5" s="67">
        <f t="shared" si="13"/>
        <v>-364128.8602012184</v>
      </c>
      <c r="Y5" s="38">
        <f t="shared" si="14"/>
        <v>16859464.417484649</v>
      </c>
      <c r="Z5" s="39">
        <f t="shared" si="15"/>
        <v>0.24025378584853763</v>
      </c>
      <c r="AC5" s="215">
        <f t="shared" si="16"/>
        <v>17473834.883700952</v>
      </c>
      <c r="AD5" s="216">
        <f t="shared" si="16"/>
        <v>0.24900879886478264</v>
      </c>
    </row>
    <row r="6" spans="1:30" s="2" customFormat="1" x14ac:dyDescent="0.25">
      <c r="A6" s="275"/>
      <c r="B6" s="14">
        <v>4</v>
      </c>
      <c r="C6" s="72">
        <f>[1]Variables!B10</f>
        <v>207203</v>
      </c>
      <c r="D6" s="73">
        <f t="shared" si="4"/>
        <v>72448.6013986014</v>
      </c>
      <c r="E6" s="74">
        <f>[1]Variables!D10</f>
        <v>29251</v>
      </c>
      <c r="F6" s="75">
        <f>[1]Variables!F10</f>
        <v>2939</v>
      </c>
      <c r="G6" s="83">
        <f>[1]Variables!J10</f>
        <v>6082</v>
      </c>
      <c r="H6" s="275"/>
      <c r="I6" s="14">
        <v>4</v>
      </c>
      <c r="J6" s="25">
        <f t="shared" si="0"/>
        <v>104638.6013986014</v>
      </c>
      <c r="K6" s="6">
        <f t="shared" si="5"/>
        <v>1.9904691092824334E-2</v>
      </c>
      <c r="L6" s="26">
        <f t="shared" si="1"/>
        <v>2095174.6714538075</v>
      </c>
      <c r="M6" s="25">
        <f t="shared" si="2"/>
        <v>6082</v>
      </c>
      <c r="N6" s="7">
        <f t="shared" si="6"/>
        <v>1.969897683216355E-2</v>
      </c>
      <c r="O6" s="26">
        <f t="shared" si="3"/>
        <v>-691173.70573317306</v>
      </c>
      <c r="P6" s="38">
        <f t="shared" si="7"/>
        <v>1404000.9657206344</v>
      </c>
      <c r="Q6" s="33">
        <f t="shared" si="8"/>
        <v>2.0007548223154727E-2</v>
      </c>
      <c r="R6" s="275"/>
      <c r="S6" s="14">
        <v>4</v>
      </c>
      <c r="T6" s="37">
        <f t="shared" si="9"/>
        <v>1404000.9657206344</v>
      </c>
      <c r="U6" s="58">
        <f t="shared" si="10"/>
        <v>0</v>
      </c>
      <c r="V6" s="58">
        <f t="shared" si="11"/>
        <v>804000.96572063444</v>
      </c>
      <c r="W6" s="59">
        <f t="shared" si="12"/>
        <v>1.4409721420984756E-2</v>
      </c>
      <c r="X6" s="67">
        <f t="shared" si="13"/>
        <v>-17611.111530351878</v>
      </c>
      <c r="Y6" s="38">
        <f t="shared" si="14"/>
        <v>1386389.8541902825</v>
      </c>
      <c r="Z6" s="39">
        <f t="shared" si="15"/>
        <v>1.9756583179818009E-2</v>
      </c>
      <c r="AC6" s="215">
        <f t="shared" si="16"/>
        <v>2819050.4404412853</v>
      </c>
      <c r="AD6" s="216">
        <f t="shared" si="16"/>
        <v>4.0172541905400233E-2</v>
      </c>
    </row>
    <row r="7" spans="1:30" s="2" customFormat="1" x14ac:dyDescent="0.25">
      <c r="A7" s="275"/>
      <c r="B7" s="14">
        <v>5</v>
      </c>
      <c r="C7" s="72">
        <f>[1]Variables!B11</f>
        <v>135302</v>
      </c>
      <c r="D7" s="73">
        <f t="shared" si="4"/>
        <v>47308.391608391612</v>
      </c>
      <c r="E7" s="74">
        <f>[1]Variables!D11</f>
        <v>19921</v>
      </c>
      <c r="F7" s="75">
        <f>[1]Variables!F11</f>
        <v>1630</v>
      </c>
      <c r="G7" s="83">
        <f>[1]Variables!J11</f>
        <v>3258</v>
      </c>
      <c r="H7" s="275"/>
      <c r="I7" s="14">
        <v>5</v>
      </c>
      <c r="J7" s="25">
        <f t="shared" si="0"/>
        <v>68859.391608391612</v>
      </c>
      <c r="K7" s="6">
        <f t="shared" si="5"/>
        <v>1.3098654803151592E-2</v>
      </c>
      <c r="L7" s="26">
        <f t="shared" si="1"/>
        <v>1378768.9367142983</v>
      </c>
      <c r="M7" s="25">
        <f t="shared" si="2"/>
        <v>3258</v>
      </c>
      <c r="N7" s="7">
        <f t="shared" si="6"/>
        <v>1.0552329253401653E-2</v>
      </c>
      <c r="O7" s="26">
        <f t="shared" si="3"/>
        <v>-370247.27610632655</v>
      </c>
      <c r="P7" s="38">
        <f t="shared" si="7"/>
        <v>1008521.6606079717</v>
      </c>
      <c r="Q7" s="33">
        <f t="shared" si="8"/>
        <v>1.4371817578026559E-2</v>
      </c>
      <c r="R7" s="275"/>
      <c r="S7" s="14">
        <v>5</v>
      </c>
      <c r="T7" s="37">
        <f t="shared" si="9"/>
        <v>1008521.6606079717</v>
      </c>
      <c r="U7" s="58">
        <f t="shared" si="10"/>
        <v>0</v>
      </c>
      <c r="V7" s="58">
        <f t="shared" si="11"/>
        <v>408521.66060797172</v>
      </c>
      <c r="W7" s="59">
        <f t="shared" si="12"/>
        <v>7.3217366331427957E-3</v>
      </c>
      <c r="X7" s="67">
        <f t="shared" si="13"/>
        <v>-8948.3978680088076</v>
      </c>
      <c r="Y7" s="38">
        <f t="shared" si="14"/>
        <v>999573.2627399629</v>
      </c>
      <c r="Z7" s="39">
        <f t="shared" si="15"/>
        <v>1.4244299502017069E-2</v>
      </c>
      <c r="AC7" s="215">
        <f t="shared" si="16"/>
        <v>2082059.1957814654</v>
      </c>
      <c r="AD7" s="216">
        <f t="shared" si="16"/>
        <v>2.9670136118232007E-2</v>
      </c>
    </row>
    <row r="8" spans="1:30" s="2" customFormat="1" x14ac:dyDescent="0.25">
      <c r="A8" s="275"/>
      <c r="B8" s="14">
        <v>6</v>
      </c>
      <c r="C8" s="72">
        <f>[1]Variables!B12</f>
        <v>2195301</v>
      </c>
      <c r="D8" s="73">
        <f t="shared" si="4"/>
        <v>767587.76223776222</v>
      </c>
      <c r="E8" s="74">
        <f>[1]Variables!D12</f>
        <v>414865</v>
      </c>
      <c r="F8" s="75">
        <f>[1]Variables!F12</f>
        <v>73495</v>
      </c>
      <c r="G8" s="83">
        <f>[1]Variables!J12</f>
        <v>81787</v>
      </c>
      <c r="H8" s="275"/>
      <c r="I8" s="14">
        <v>6</v>
      </c>
      <c r="J8" s="25">
        <f t="shared" si="0"/>
        <v>1255947.7622377621</v>
      </c>
      <c r="K8" s="6">
        <f t="shared" si="5"/>
        <v>0.23891042026485626</v>
      </c>
      <c r="L8" s="26">
        <f t="shared" si="1"/>
        <v>25147793.50008418</v>
      </c>
      <c r="M8" s="25">
        <f t="shared" si="2"/>
        <v>81787</v>
      </c>
      <c r="N8" s="7">
        <f t="shared" si="6"/>
        <v>0.26489973991650123</v>
      </c>
      <c r="O8" s="26">
        <f t="shared" si="3"/>
        <v>-9294479.426306976</v>
      </c>
      <c r="P8" s="38">
        <f t="shared" si="7"/>
        <v>15853314.073777204</v>
      </c>
      <c r="Q8" s="33">
        <f t="shared" si="8"/>
        <v>0.22591576043903377</v>
      </c>
      <c r="R8" s="275"/>
      <c r="S8" s="14">
        <v>6</v>
      </c>
      <c r="T8" s="37">
        <f t="shared" si="9"/>
        <v>15853314.073777204</v>
      </c>
      <c r="U8" s="58">
        <f t="shared" si="10"/>
        <v>0</v>
      </c>
      <c r="V8" s="58">
        <f t="shared" si="11"/>
        <v>15253314.073777204</v>
      </c>
      <c r="W8" s="59">
        <f t="shared" si="12"/>
        <v>0.27337778923301437</v>
      </c>
      <c r="X8" s="67">
        <f t="shared" si="13"/>
        <v>-334113.79689078155</v>
      </c>
      <c r="Y8" s="38">
        <f t="shared" si="14"/>
        <v>15519200.276886422</v>
      </c>
      <c r="Z8" s="39">
        <f t="shared" si="15"/>
        <v>0.22115451164610112</v>
      </c>
      <c r="AC8" s="215">
        <f t="shared" si="16"/>
        <v>16119200.276886422</v>
      </c>
      <c r="AD8" s="216">
        <f t="shared" si="16"/>
        <v>0.22970474004835242</v>
      </c>
    </row>
    <row r="9" spans="1:30" s="2" customFormat="1" x14ac:dyDescent="0.25">
      <c r="A9" s="275"/>
      <c r="B9" s="14">
        <v>7</v>
      </c>
      <c r="C9" s="72">
        <f>[1]Variables!B13</f>
        <v>540304</v>
      </c>
      <c r="D9" s="73">
        <f t="shared" si="4"/>
        <v>188917.48251748254</v>
      </c>
      <c r="E9" s="74">
        <f>[1]Variables!D13</f>
        <v>143208</v>
      </c>
      <c r="F9" s="75">
        <f>[1]Variables!F13</f>
        <v>19996</v>
      </c>
      <c r="G9" s="83">
        <f>[1]Variables!J13</f>
        <v>22310</v>
      </c>
      <c r="H9" s="275"/>
      <c r="I9" s="14">
        <v>7</v>
      </c>
      <c r="J9" s="25">
        <f t="shared" si="0"/>
        <v>352121.48251748254</v>
      </c>
      <c r="K9" s="6">
        <f t="shared" si="5"/>
        <v>6.698168021148182E-2</v>
      </c>
      <c r="L9" s="26">
        <f t="shared" si="1"/>
        <v>7050514.8347219294</v>
      </c>
      <c r="M9" s="25">
        <f t="shared" si="2"/>
        <v>22310</v>
      </c>
      <c r="N9" s="7">
        <f t="shared" si="6"/>
        <v>7.225981143136613E-2</v>
      </c>
      <c r="O9" s="26">
        <f t="shared" si="3"/>
        <v>-2535364.2510534516</v>
      </c>
      <c r="P9" s="38">
        <f t="shared" si="7"/>
        <v>4515150.5836684778</v>
      </c>
      <c r="Q9" s="33">
        <f t="shared" si="8"/>
        <v>6.4342614601539658E-2</v>
      </c>
      <c r="R9" s="275"/>
      <c r="S9" s="14">
        <v>7</v>
      </c>
      <c r="T9" s="37">
        <f t="shared" si="9"/>
        <v>4515150.5836684778</v>
      </c>
      <c r="U9" s="58">
        <f t="shared" si="10"/>
        <v>0</v>
      </c>
      <c r="V9" s="58">
        <f t="shared" si="11"/>
        <v>3915150.5836684778</v>
      </c>
      <c r="W9" s="59">
        <f t="shared" si="12"/>
        <v>7.0169355059545455E-2</v>
      </c>
      <c r="X9" s="67">
        <f t="shared" si="13"/>
        <v>-85758.794487649735</v>
      </c>
      <c r="Y9" s="38">
        <f t="shared" si="14"/>
        <v>4429391.7891808283</v>
      </c>
      <c r="Z9" s="39">
        <f t="shared" si="15"/>
        <v>6.3120519134254441E-2</v>
      </c>
      <c r="AC9" s="215">
        <f t="shared" si="16"/>
        <v>5029391.7891808283</v>
      </c>
      <c r="AD9" s="216">
        <f t="shared" si="16"/>
        <v>7.1670747536505749E-2</v>
      </c>
    </row>
    <row r="10" spans="1:30" s="2" customFormat="1" x14ac:dyDescent="0.25">
      <c r="A10" s="275"/>
      <c r="B10" s="14">
        <v>8</v>
      </c>
      <c r="C10" s="72">
        <f>[1]Variables!B14</f>
        <v>338791</v>
      </c>
      <c r="D10" s="73">
        <f t="shared" si="4"/>
        <v>118458.39160839161</v>
      </c>
      <c r="E10" s="74">
        <f>[1]Variables!D14</f>
        <v>68023</v>
      </c>
      <c r="F10" s="75">
        <f>[1]Variables!F14</f>
        <v>6493</v>
      </c>
      <c r="G10" s="83">
        <f>[1]Variables!J14</f>
        <v>12962</v>
      </c>
      <c r="H10" s="275"/>
      <c r="I10" s="14">
        <v>8</v>
      </c>
      <c r="J10" s="25">
        <f t="shared" si="0"/>
        <v>192974.3916083916</v>
      </c>
      <c r="K10" s="6">
        <f t="shared" si="5"/>
        <v>3.6708209039977541E-2</v>
      </c>
      <c r="L10" s="26">
        <f t="shared" si="1"/>
        <v>3863918.784588364</v>
      </c>
      <c r="M10" s="25">
        <f t="shared" si="2"/>
        <v>12962</v>
      </c>
      <c r="N10" s="7">
        <f t="shared" si="6"/>
        <v>4.198259416285826E-2</v>
      </c>
      <c r="O10" s="26">
        <f t="shared" si="3"/>
        <v>-1473034.1291866803</v>
      </c>
      <c r="P10" s="38">
        <f t="shared" si="7"/>
        <v>2390884.6554016834</v>
      </c>
      <c r="Q10" s="33">
        <f t="shared" si="8"/>
        <v>3.4071016478537178E-2</v>
      </c>
      <c r="R10" s="275"/>
      <c r="S10" s="14">
        <v>8</v>
      </c>
      <c r="T10" s="37">
        <f t="shared" si="9"/>
        <v>2390884.6554016834</v>
      </c>
      <c r="U10" s="58">
        <f t="shared" si="10"/>
        <v>0</v>
      </c>
      <c r="V10" s="58">
        <f t="shared" si="11"/>
        <v>1790884.6554016834</v>
      </c>
      <c r="W10" s="59">
        <f t="shared" si="12"/>
        <v>3.2097161672342299E-2</v>
      </c>
      <c r="X10" s="67">
        <f t="shared" si="13"/>
        <v>-39228.148657763966</v>
      </c>
      <c r="Y10" s="38">
        <f t="shared" si="14"/>
        <v>2351656.5067439196</v>
      </c>
      <c r="Z10" s="39">
        <f t="shared" si="15"/>
        <v>3.3512000427168266E-2</v>
      </c>
      <c r="AC10" s="215">
        <f t="shared" si="16"/>
        <v>3074439.8240403314</v>
      </c>
      <c r="AD10" s="216">
        <f t="shared" si="16"/>
        <v>4.3811937840870271E-2</v>
      </c>
    </row>
    <row r="11" spans="1:30" s="2" customFormat="1" x14ac:dyDescent="0.25">
      <c r="A11" s="275"/>
      <c r="B11" s="14">
        <v>9</v>
      </c>
      <c r="C11" s="72">
        <f>[1]Variables!B15</f>
        <v>793672</v>
      </c>
      <c r="D11" s="73">
        <f t="shared" si="4"/>
        <v>277507.69230769231</v>
      </c>
      <c r="E11" s="74">
        <f>[1]Variables!D15</f>
        <v>132528</v>
      </c>
      <c r="F11" s="75">
        <f>[1]Variables!F15</f>
        <v>18118</v>
      </c>
      <c r="G11" s="83">
        <f>[1]Variables!J15</f>
        <v>24890</v>
      </c>
      <c r="H11" s="275"/>
      <c r="I11" s="14">
        <v>9</v>
      </c>
      <c r="J11" s="25">
        <f t="shared" si="0"/>
        <v>428153.69230769231</v>
      </c>
      <c r="K11" s="6">
        <f t="shared" si="5"/>
        <v>8.1444771544420522E-2</v>
      </c>
      <c r="L11" s="26">
        <f t="shared" si="1"/>
        <v>8572904.8326566592</v>
      </c>
      <c r="M11" s="25">
        <f t="shared" si="2"/>
        <v>24890</v>
      </c>
      <c r="N11" s="7">
        <f t="shared" si="6"/>
        <v>8.0616167930376653E-2</v>
      </c>
      <c r="O11" s="26">
        <f t="shared" si="3"/>
        <v>-2828561.9098485168</v>
      </c>
      <c r="P11" s="38">
        <f t="shared" si="7"/>
        <v>5744342.9228081424</v>
      </c>
      <c r="Q11" s="33">
        <f t="shared" si="8"/>
        <v>8.1859073351442463E-2</v>
      </c>
      <c r="R11" s="275"/>
      <c r="S11" s="14">
        <v>9</v>
      </c>
      <c r="T11" s="37">
        <f t="shared" si="9"/>
        <v>5744342.9228081424</v>
      </c>
      <c r="U11" s="58">
        <f t="shared" si="10"/>
        <v>0</v>
      </c>
      <c r="V11" s="58">
        <f t="shared" si="11"/>
        <v>5144342.9228081424</v>
      </c>
      <c r="W11" s="59">
        <f t="shared" si="12"/>
        <v>9.219957633413739E-2</v>
      </c>
      <c r="X11" s="67">
        <f t="shared" si="13"/>
        <v>-112683.44296420961</v>
      </c>
      <c r="Y11" s="38">
        <f t="shared" si="14"/>
        <v>5631659.4798439331</v>
      </c>
      <c r="Z11" s="39">
        <f t="shared" si="15"/>
        <v>8.0253291393949058E-2</v>
      </c>
      <c r="AC11" s="215">
        <f t="shared" si="16"/>
        <v>6231659.4798439331</v>
      </c>
      <c r="AD11" s="216">
        <f t="shared" si="16"/>
        <v>8.8803519796200367E-2</v>
      </c>
    </row>
    <row r="12" spans="1:30" s="2" customFormat="1" x14ac:dyDescent="0.25">
      <c r="A12" s="275"/>
      <c r="B12" s="14">
        <v>10</v>
      </c>
      <c r="C12" s="72">
        <f>[1]Variables!B16</f>
        <v>190242</v>
      </c>
      <c r="D12" s="73">
        <f t="shared" si="4"/>
        <v>66518.181818181823</v>
      </c>
      <c r="E12" s="74">
        <f>[1]Variables!D16</f>
        <v>32789</v>
      </c>
      <c r="F12" s="75">
        <f>[1]Variables!F16</f>
        <v>5462</v>
      </c>
      <c r="G12" s="83">
        <f>[1]Variables!J16</f>
        <v>5969</v>
      </c>
      <c r="H12" s="275"/>
      <c r="I12" s="14">
        <v>10</v>
      </c>
      <c r="J12" s="25">
        <f t="shared" si="0"/>
        <v>104769.18181818182</v>
      </c>
      <c r="K12" s="6">
        <f t="shared" si="5"/>
        <v>1.9929530519955233E-2</v>
      </c>
      <c r="L12" s="26">
        <f t="shared" si="1"/>
        <v>2097789.2781480476</v>
      </c>
      <c r="M12" s="25">
        <f t="shared" si="2"/>
        <v>5969</v>
      </c>
      <c r="N12" s="7">
        <f t="shared" si="6"/>
        <v>1.9332981373098364E-2</v>
      </c>
      <c r="O12" s="26">
        <f t="shared" si="3"/>
        <v>-678332.10284796299</v>
      </c>
      <c r="P12" s="38">
        <f t="shared" si="7"/>
        <v>1419457.1753000845</v>
      </c>
      <c r="Q12" s="33">
        <f t="shared" si="8"/>
        <v>2.0227805093383663E-2</v>
      </c>
      <c r="R12" s="275"/>
      <c r="S12" s="14">
        <v>10</v>
      </c>
      <c r="T12" s="37">
        <f t="shared" si="9"/>
        <v>1419457.1753000845</v>
      </c>
      <c r="U12" s="58">
        <f t="shared" si="10"/>
        <v>0</v>
      </c>
      <c r="V12" s="58">
        <f t="shared" si="11"/>
        <v>819457.17530008452</v>
      </c>
      <c r="W12" s="59">
        <f t="shared" si="12"/>
        <v>1.4686735608479674E-2</v>
      </c>
      <c r="X12" s="67">
        <f t="shared" si="13"/>
        <v>-17949.669619640008</v>
      </c>
      <c r="Y12" s="38">
        <f t="shared" si="14"/>
        <v>1401507.5056804444</v>
      </c>
      <c r="Z12" s="39">
        <f t="shared" si="15"/>
        <v>1.997201546839554E-2</v>
      </c>
      <c r="AC12" s="215">
        <f t="shared" si="16"/>
        <v>2120187.6768159396</v>
      </c>
      <c r="AD12" s="216">
        <f t="shared" si="16"/>
        <v>3.0213481487358109E-2</v>
      </c>
    </row>
    <row r="13" spans="1:30" s="2" customFormat="1" x14ac:dyDescent="0.25">
      <c r="A13" s="275"/>
      <c r="B13" s="14">
        <v>11</v>
      </c>
      <c r="C13" s="72">
        <f>[1]Variables!B17</f>
        <v>875159</v>
      </c>
      <c r="D13" s="73">
        <f t="shared" si="4"/>
        <v>305999.65034965036</v>
      </c>
      <c r="E13" s="74">
        <f>[1]Variables!D17</f>
        <v>68151</v>
      </c>
      <c r="F13" s="75">
        <f>[1]Variables!F17</f>
        <v>23829</v>
      </c>
      <c r="G13" s="83">
        <f>[1]Variables!J17</f>
        <v>13172</v>
      </c>
      <c r="H13" s="275"/>
      <c r="I13" s="14">
        <v>11</v>
      </c>
      <c r="J13" s="25">
        <f t="shared" si="0"/>
        <v>397979.65034965036</v>
      </c>
      <c r="K13" s="6">
        <f t="shared" si="5"/>
        <v>7.5704968296201908E-2</v>
      </c>
      <c r="L13" s="26">
        <f t="shared" si="1"/>
        <v>7968731.1567772431</v>
      </c>
      <c r="M13" s="25">
        <f t="shared" si="2"/>
        <v>13172</v>
      </c>
      <c r="N13" s="7">
        <f t="shared" si="6"/>
        <v>4.2662762715103303E-2</v>
      </c>
      <c r="O13" s="26">
        <f t="shared" si="3"/>
        <v>-1496899.0549025577</v>
      </c>
      <c r="P13" s="38">
        <f t="shared" si="7"/>
        <v>6471832.1018746849</v>
      </c>
      <c r="Q13" s="33">
        <f t="shared" si="8"/>
        <v>9.2226071086751196E-2</v>
      </c>
      <c r="R13" s="275"/>
      <c r="S13" s="14">
        <v>11</v>
      </c>
      <c r="T13" s="37">
        <f t="shared" si="9"/>
        <v>6471832.1018746849</v>
      </c>
      <c r="U13" s="58">
        <f t="shared" si="10"/>
        <v>0</v>
      </c>
      <c r="V13" s="58">
        <f t="shared" si="11"/>
        <v>5871832.1018746849</v>
      </c>
      <c r="W13" s="59">
        <f t="shared" si="12"/>
        <v>0.10523801391578112</v>
      </c>
      <c r="X13" s="67">
        <f t="shared" si="13"/>
        <v>-128618.61420891275</v>
      </c>
      <c r="Y13" s="38">
        <f t="shared" si="14"/>
        <v>6343213.4876657724</v>
      </c>
      <c r="Z13" s="39">
        <f t="shared" si="15"/>
        <v>9.0393206872972448E-2</v>
      </c>
      <c r="AC13" s="215">
        <f t="shared" si="16"/>
        <v>7362434.7341706436</v>
      </c>
      <c r="AD13" s="216">
        <f t="shared" si="16"/>
        <v>0.10491749762304567</v>
      </c>
    </row>
    <row r="14" spans="1:30" s="2" customFormat="1" x14ac:dyDescent="0.25">
      <c r="A14" s="275"/>
      <c r="B14" s="14">
        <v>12</v>
      </c>
      <c r="C14" s="72">
        <f>[1]Variables!B18</f>
        <v>125641</v>
      </c>
      <c r="D14" s="73">
        <f t="shared" si="4"/>
        <v>43930.419580419584</v>
      </c>
      <c r="E14" s="74">
        <f>[1]Variables!D18</f>
        <v>21504</v>
      </c>
      <c r="F14" s="75">
        <f>[1]Variables!F18</f>
        <v>4465</v>
      </c>
      <c r="G14" s="83">
        <f>[1]Variables!J18</f>
        <v>4325</v>
      </c>
      <c r="H14" s="275"/>
      <c r="I14" s="14">
        <v>12</v>
      </c>
      <c r="J14" s="25">
        <f t="shared" si="0"/>
        <v>69899.419580419577</v>
      </c>
      <c r="K14" s="6">
        <f t="shared" si="5"/>
        <v>1.329649226690223E-2</v>
      </c>
      <c r="L14" s="26">
        <f t="shared" si="1"/>
        <v>1399593.3766004529</v>
      </c>
      <c r="M14" s="25">
        <f t="shared" si="2"/>
        <v>4325</v>
      </c>
      <c r="N14" s="7">
        <f t="shared" si="6"/>
        <v>1.4008233278380033E-2</v>
      </c>
      <c r="O14" s="26">
        <f t="shared" si="3"/>
        <v>-491503.82724366552</v>
      </c>
      <c r="P14" s="38">
        <f t="shared" si="7"/>
        <v>908089.54935678747</v>
      </c>
      <c r="Q14" s="33">
        <f t="shared" si="8"/>
        <v>1.2940621761163328E-2</v>
      </c>
      <c r="R14" s="275"/>
      <c r="S14" s="14">
        <v>12</v>
      </c>
      <c r="T14" s="37">
        <f t="shared" si="9"/>
        <v>908089.54935678747</v>
      </c>
      <c r="U14" s="58">
        <f t="shared" si="10"/>
        <v>0</v>
      </c>
      <c r="V14" s="58">
        <f t="shared" si="11"/>
        <v>308089.54935678747</v>
      </c>
      <c r="W14" s="59">
        <f t="shared" si="12"/>
        <v>5.5217403563301492E-3</v>
      </c>
      <c r="X14" s="67">
        <f t="shared" si="13"/>
        <v>-6748.4986292212134</v>
      </c>
      <c r="Y14" s="38">
        <f t="shared" si="14"/>
        <v>901341.05072756624</v>
      </c>
      <c r="Z14" s="39">
        <f t="shared" si="15"/>
        <v>1.2844453086743125E-2</v>
      </c>
      <c r="AC14" s="215">
        <f t="shared" si="16"/>
        <v>1501341.0507275662</v>
      </c>
      <c r="AD14" s="216">
        <f t="shared" si="16"/>
        <v>2.1394681488994434E-2</v>
      </c>
    </row>
    <row r="15" spans="1:30" s="2" customFormat="1" x14ac:dyDescent="0.25">
      <c r="A15" s="275"/>
      <c r="B15" s="14">
        <v>13</v>
      </c>
      <c r="C15" s="72">
        <f>[1]Variables!B19</f>
        <v>394954</v>
      </c>
      <c r="D15" s="73">
        <f t="shared" si="4"/>
        <v>138095.8041958042</v>
      </c>
      <c r="E15" s="74">
        <f>[1]Variables!D19</f>
        <v>46436</v>
      </c>
      <c r="F15" s="75">
        <f>[1]Variables!F19</f>
        <v>7585</v>
      </c>
      <c r="G15" s="83">
        <f>[1]Variables!J19</f>
        <v>11543</v>
      </c>
      <c r="H15" s="275"/>
      <c r="I15" s="14">
        <v>13</v>
      </c>
      <c r="J15" s="25">
        <f t="shared" si="0"/>
        <v>192116.8041958042</v>
      </c>
      <c r="K15" s="6">
        <f t="shared" si="5"/>
        <v>3.6545076005853536E-2</v>
      </c>
      <c r="L15" s="26">
        <f t="shared" si="1"/>
        <v>3846747.344972441</v>
      </c>
      <c r="M15" s="25">
        <f t="shared" si="2"/>
        <v>11543</v>
      </c>
      <c r="N15" s="7">
        <f t="shared" si="6"/>
        <v>3.738659808840248E-2</v>
      </c>
      <c r="O15" s="26">
        <f t="shared" si="3"/>
        <v>-1311775.4168493946</v>
      </c>
      <c r="P15" s="38">
        <f t="shared" si="7"/>
        <v>2534971.9281230466</v>
      </c>
      <c r="Q15" s="33">
        <f t="shared" si="8"/>
        <v>3.612431496457906E-2</v>
      </c>
      <c r="R15" s="275"/>
      <c r="S15" s="14">
        <v>13</v>
      </c>
      <c r="T15" s="37">
        <f t="shared" si="9"/>
        <v>2534971.9281230466</v>
      </c>
      <c r="U15" s="58">
        <f t="shared" si="10"/>
        <v>0</v>
      </c>
      <c r="V15" s="58">
        <f t="shared" si="11"/>
        <v>1934971.9281230466</v>
      </c>
      <c r="W15" s="59">
        <f t="shared" si="12"/>
        <v>3.4679568346895638E-2</v>
      </c>
      <c r="X15" s="67">
        <f t="shared" si="13"/>
        <v>-42384.285451363125</v>
      </c>
      <c r="Y15" s="38">
        <f t="shared" si="14"/>
        <v>2492587.6426716833</v>
      </c>
      <c r="Z15" s="39">
        <f t="shared" si="15"/>
        <v>3.5520322762453441E-2</v>
      </c>
      <c r="AC15" s="215">
        <f t="shared" si="16"/>
        <v>3092587.6426716833</v>
      </c>
      <c r="AD15" s="216">
        <f t="shared" si="16"/>
        <v>4.4070551164704749E-2</v>
      </c>
    </row>
    <row r="16" spans="1:30" s="2" customFormat="1" ht="15" customHeight="1" thickBot="1" x14ac:dyDescent="0.3">
      <c r="A16" s="276"/>
      <c r="B16" s="15" t="s">
        <v>2</v>
      </c>
      <c r="C16" s="76">
        <f>SUM(C3:C15)</f>
        <v>8328049</v>
      </c>
      <c r="D16" s="77">
        <f t="shared" ref="D16:G16" si="17">SUM(D3:D15)</f>
        <v>2911905.2447552448</v>
      </c>
      <c r="E16" s="77">
        <f t="shared" si="17"/>
        <v>1492460</v>
      </c>
      <c r="F16" s="78">
        <f t="shared" si="17"/>
        <v>247846</v>
      </c>
      <c r="G16" s="84">
        <f t="shared" si="17"/>
        <v>279254</v>
      </c>
      <c r="H16" s="276"/>
      <c r="I16" s="15" t="s">
        <v>2</v>
      </c>
      <c r="J16" s="27">
        <f>SUM(J3:J15)</f>
        <v>4652211.2447552448</v>
      </c>
      <c r="K16" s="19">
        <f t="shared" ref="K16:O16" si="18">SUM(K3:K15)</f>
        <v>0.88495857635435304</v>
      </c>
      <c r="L16" s="28">
        <f t="shared" si="18"/>
        <v>93151045.942726657</v>
      </c>
      <c r="M16" s="27">
        <f t="shared" si="18"/>
        <v>279254</v>
      </c>
      <c r="N16" s="19">
        <f t="shared" si="18"/>
        <v>0.90447518518398562</v>
      </c>
      <c r="O16" s="28">
        <f t="shared" si="18"/>
        <v>-31735123.646960128</v>
      </c>
      <c r="P16" s="42">
        <f>SUM(P3:P15)</f>
        <v>61415922.295766495</v>
      </c>
      <c r="Q16" s="20">
        <f>P16/$P$31</f>
        <v>0.87520027193953687</v>
      </c>
      <c r="R16" s="276"/>
      <c r="S16" s="15" t="s">
        <v>2</v>
      </c>
      <c r="T16" s="40">
        <f t="shared" ref="T16:Y16" si="19">SUM(T3:T15)</f>
        <v>61415922.295766495</v>
      </c>
      <c r="U16" s="62">
        <f t="shared" si="19"/>
        <v>0</v>
      </c>
      <c r="V16" s="62">
        <f t="shared" si="19"/>
        <v>53615922.295766495</v>
      </c>
      <c r="W16" s="63">
        <f t="shared" si="19"/>
        <v>0.9609323084813457</v>
      </c>
      <c r="X16" s="41">
        <f t="shared" si="19"/>
        <v>-1174421.4591920231</v>
      </c>
      <c r="Y16" s="42">
        <f t="shared" si="19"/>
        <v>60241500.836574465</v>
      </c>
      <c r="Z16" s="43">
        <f>Y16/$Y$31</f>
        <v>0.8584643190785417</v>
      </c>
      <c r="AC16" s="215">
        <f t="shared" si="16"/>
        <v>70173564</v>
      </c>
      <c r="AD16" s="216">
        <f t="shared" si="16"/>
        <v>1</v>
      </c>
    </row>
    <row r="17" spans="1:26" s="2" customFormat="1" ht="12.75" customHeight="1" x14ac:dyDescent="0.25">
      <c r="A17" s="274" t="s">
        <v>4</v>
      </c>
      <c r="B17" s="13">
        <v>1</v>
      </c>
      <c r="C17" s="68">
        <f>[1]Variables!B23</f>
        <v>121455</v>
      </c>
      <c r="D17" s="69">
        <f>C17/$G$33</f>
        <v>42466.783216783217</v>
      </c>
      <c r="E17" s="70">
        <f>[1]Variables!D23</f>
        <v>9494</v>
      </c>
      <c r="F17" s="71">
        <f>[1]Variables!F23</f>
        <v>2542</v>
      </c>
      <c r="G17" s="82">
        <f>[1]Variables!J23</f>
        <v>3047</v>
      </c>
      <c r="H17" s="274" t="s">
        <v>4</v>
      </c>
      <c r="I17" s="13">
        <v>1</v>
      </c>
      <c r="J17" s="23">
        <f t="shared" ref="J17:J29" si="20">SUM(D17:F17)</f>
        <v>54502.783216783217</v>
      </c>
      <c r="K17" s="8">
        <f>J17/$J$31</f>
        <v>1.0367694609149665E-2</v>
      </c>
      <c r="L17" s="24">
        <f t="shared" ref="L17:L29" si="21">K17*($Q$33*$Q$34)</f>
        <v>1091307.1217814286</v>
      </c>
      <c r="M17" s="23">
        <f t="shared" ref="M17:M29" si="22">SUM(G17:G17)</f>
        <v>3047</v>
      </c>
      <c r="N17" s="9">
        <f>M17/$M$31</f>
        <v>9.8689218032887768E-3</v>
      </c>
      <c r="O17" s="24">
        <f t="shared" ref="O17:O29" si="23">N17*($Q$33*$Q$35)</f>
        <v>-346268.70788704022</v>
      </c>
      <c r="P17" s="35">
        <f>L17+O17</f>
        <v>745038.41389438836</v>
      </c>
      <c r="Q17" s="32">
        <f>P17/$P$31</f>
        <v>1.061708101208011E-2</v>
      </c>
      <c r="R17" s="274" t="s">
        <v>4</v>
      </c>
      <c r="S17" s="13">
        <v>1</v>
      </c>
      <c r="T17" s="34">
        <f>P17</f>
        <v>745038.41389438836</v>
      </c>
      <c r="U17" s="60">
        <f>IF(T17&lt;$Z$33, $Z$33-T17, 0)</f>
        <v>0</v>
      </c>
      <c r="V17" s="60">
        <f>IF(T17&lt;$Z$33, 0, T17-$Z$33)</f>
        <v>145038.41389438836</v>
      </c>
      <c r="W17" s="61">
        <f>IF(T17&lt;$Z$33, 0, (T17-$Z$33)/$V$31)</f>
        <v>2.5994535189225367E-3</v>
      </c>
      <c r="X17" s="66">
        <f>IF(T17&lt;$Z$33, U17, -W17*$U$31)</f>
        <v>-3176.9709144440844</v>
      </c>
      <c r="Y17" s="35">
        <f>T17+X17</f>
        <v>741861.44297994429</v>
      </c>
      <c r="Z17" s="36">
        <f>Y17/$Y$31</f>
        <v>1.0571807967170433E-2</v>
      </c>
    </row>
    <row r="18" spans="1:26" s="2" customFormat="1" x14ac:dyDescent="0.25">
      <c r="A18" s="275"/>
      <c r="B18" s="14">
        <v>2</v>
      </c>
      <c r="C18" s="72">
        <f>[1]Variables!B24</f>
        <v>95796</v>
      </c>
      <c r="D18" s="73">
        <f t="shared" ref="D18:D29" si="24">C18/$G$33</f>
        <v>33495.104895104894</v>
      </c>
      <c r="E18" s="74">
        <f>[1]Variables!D24</f>
        <v>7681</v>
      </c>
      <c r="F18" s="75">
        <f>[1]Variables!F24</f>
        <v>895</v>
      </c>
      <c r="G18" s="83">
        <f>[1]Variables!J24</f>
        <v>2764</v>
      </c>
      <c r="H18" s="275"/>
      <c r="I18" s="14">
        <v>2</v>
      </c>
      <c r="J18" s="25">
        <f t="shared" si="20"/>
        <v>42071.104895104894</v>
      </c>
      <c r="K18" s="6">
        <f t="shared" ref="K18:K29" si="25">J18/$J$31</f>
        <v>8.0029008002592186E-3</v>
      </c>
      <c r="L18" s="26">
        <f t="shared" si="21"/>
        <v>842388.1072389622</v>
      </c>
      <c r="M18" s="25">
        <f t="shared" si="22"/>
        <v>2764</v>
      </c>
      <c r="N18" s="7">
        <f t="shared" ref="N18:N29" si="26">M18/$M$31</f>
        <v>8.9523137066918872E-3</v>
      </c>
      <c r="O18" s="26">
        <f t="shared" si="23"/>
        <v>-314107.87942231022</v>
      </c>
      <c r="P18" s="38">
        <f t="shared" ref="P18:P29" si="27">L18+O18</f>
        <v>528280.22781665204</v>
      </c>
      <c r="Q18" s="33">
        <f t="shared" ref="Q18:Q29" si="28">P18/$P$31</f>
        <v>7.5281943470428842E-3</v>
      </c>
      <c r="R18" s="275"/>
      <c r="S18" s="14">
        <v>2</v>
      </c>
      <c r="T18" s="37">
        <f t="shared" ref="T18:T29" si="29">P18</f>
        <v>528280.22781665204</v>
      </c>
      <c r="U18" s="58">
        <f t="shared" ref="U18:U29" si="30">IF(T18&lt;$Z$33, $Z$33-T18, 0)</f>
        <v>71719.772183347959</v>
      </c>
      <c r="V18" s="58">
        <f t="shared" ref="V18:V29" si="31">IF(T18&lt;$Z$33, 0, T18-$Z$33)</f>
        <v>0</v>
      </c>
      <c r="W18" s="59">
        <f t="shared" ref="W18:W29" si="32">IF(T18&lt;$Z$33, 0, (T18-$Z$33)/$V$31)</f>
        <v>0</v>
      </c>
      <c r="X18" s="67">
        <f t="shared" ref="X18:X29" si="33">IF(T18&lt;$Z$33, U18, -W18*$U$31)</f>
        <v>71719.772183347959</v>
      </c>
      <c r="Y18" s="38">
        <f t="shared" ref="Y18:Y29" si="34">T18+X18</f>
        <v>600000</v>
      </c>
      <c r="Z18" s="39">
        <f t="shared" ref="Z18:Z29" si="35">Y18/$Y$31</f>
        <v>8.5502284022513086E-3</v>
      </c>
    </row>
    <row r="19" spans="1:26" s="2" customFormat="1" x14ac:dyDescent="0.25">
      <c r="A19" s="275"/>
      <c r="B19" s="14">
        <v>3</v>
      </c>
      <c r="C19" s="72">
        <f>[1]Variables!B25</f>
        <v>90732</v>
      </c>
      <c r="D19" s="73">
        <f t="shared" si="24"/>
        <v>31724.475524475525</v>
      </c>
      <c r="E19" s="74">
        <f>[1]Variables!D25</f>
        <v>11549</v>
      </c>
      <c r="F19" s="75">
        <f>[1]Variables!F25</f>
        <v>1456</v>
      </c>
      <c r="G19" s="83">
        <f>[1]Variables!J25</f>
        <v>2472</v>
      </c>
      <c r="H19" s="275"/>
      <c r="I19" s="14">
        <v>3</v>
      </c>
      <c r="J19" s="25">
        <f t="shared" si="20"/>
        <v>44729.475524475522</v>
      </c>
      <c r="K19" s="6">
        <f t="shared" si="25"/>
        <v>8.5085846060499043E-3</v>
      </c>
      <c r="L19" s="26">
        <f t="shared" si="21"/>
        <v>895616.55960308667</v>
      </c>
      <c r="M19" s="25">
        <f t="shared" si="22"/>
        <v>2472</v>
      </c>
      <c r="N19" s="7">
        <f t="shared" si="26"/>
        <v>8.006555529284495E-3</v>
      </c>
      <c r="O19" s="26">
        <f t="shared" si="23"/>
        <v>-280924.26842689968</v>
      </c>
      <c r="P19" s="38">
        <f t="shared" si="27"/>
        <v>614692.29117618699</v>
      </c>
      <c r="Q19" s="33">
        <f t="shared" si="28"/>
        <v>8.7595991444326098E-3</v>
      </c>
      <c r="R19" s="275"/>
      <c r="S19" s="14">
        <v>3</v>
      </c>
      <c r="T19" s="37">
        <f t="shared" si="29"/>
        <v>614692.29117618699</v>
      </c>
      <c r="U19" s="58">
        <f t="shared" si="30"/>
        <v>0</v>
      </c>
      <c r="V19" s="58">
        <f t="shared" si="31"/>
        <v>14692.291176186991</v>
      </c>
      <c r="W19" s="59">
        <f t="shared" si="32"/>
        <v>2.6332284650315996E-4</v>
      </c>
      <c r="X19" s="67">
        <f t="shared" si="33"/>
        <v>-321.82495988461375</v>
      </c>
      <c r="Y19" s="38">
        <f t="shared" si="34"/>
        <v>614370.46621630236</v>
      </c>
      <c r="Z19" s="39">
        <f t="shared" si="35"/>
        <v>8.7550130162450113E-3</v>
      </c>
    </row>
    <row r="20" spans="1:26" s="2" customFormat="1" x14ac:dyDescent="0.25">
      <c r="A20" s="275"/>
      <c r="B20" s="14">
        <v>4</v>
      </c>
      <c r="C20" s="72">
        <f>[1]Variables!B26</f>
        <v>226381</v>
      </c>
      <c r="D20" s="73">
        <f t="shared" si="24"/>
        <v>79154.195804195813</v>
      </c>
      <c r="E20" s="74">
        <f>[1]Variables!D26</f>
        <v>21152</v>
      </c>
      <c r="F20" s="75">
        <f>[1]Variables!F26</f>
        <v>3284</v>
      </c>
      <c r="G20" s="83">
        <f>[1]Variables!J26</f>
        <v>5481</v>
      </c>
      <c r="H20" s="275"/>
      <c r="I20" s="14">
        <v>4</v>
      </c>
      <c r="J20" s="25">
        <f t="shared" si="20"/>
        <v>103590.19580419581</v>
      </c>
      <c r="K20" s="6">
        <f t="shared" si="25"/>
        <v>1.9705260010817238E-2</v>
      </c>
      <c r="L20" s="26">
        <f t="shared" si="21"/>
        <v>2074182.4867585863</v>
      </c>
      <c r="M20" s="25">
        <f t="shared" si="22"/>
        <v>5481</v>
      </c>
      <c r="N20" s="7">
        <f t="shared" si="26"/>
        <v>1.7752399213595598E-2</v>
      </c>
      <c r="O20" s="26">
        <f t="shared" si="23"/>
        <v>-622874.56118440023</v>
      </c>
      <c r="P20" s="38">
        <f t="shared" si="27"/>
        <v>1451307.925574186</v>
      </c>
      <c r="Q20" s="33">
        <f t="shared" si="28"/>
        <v>2.0681690409428057E-2</v>
      </c>
      <c r="R20" s="275"/>
      <c r="S20" s="14">
        <v>4</v>
      </c>
      <c r="T20" s="37">
        <f t="shared" si="29"/>
        <v>1451307.925574186</v>
      </c>
      <c r="U20" s="58">
        <f t="shared" si="30"/>
        <v>0</v>
      </c>
      <c r="V20" s="58">
        <f t="shared" si="31"/>
        <v>851307.92557418603</v>
      </c>
      <c r="W20" s="59">
        <f t="shared" si="32"/>
        <v>1.5257581239352499E-2</v>
      </c>
      <c r="X20" s="67">
        <f t="shared" si="33"/>
        <v>-18647.33932318299</v>
      </c>
      <c r="Y20" s="38">
        <f t="shared" si="34"/>
        <v>1432660.586251003</v>
      </c>
      <c r="Z20" s="39">
        <f t="shared" si="35"/>
        <v>2.0415958725582228E-2</v>
      </c>
    </row>
    <row r="21" spans="1:26" s="2" customFormat="1" x14ac:dyDescent="0.25">
      <c r="A21" s="275"/>
      <c r="B21" s="14">
        <v>5</v>
      </c>
      <c r="C21" s="72">
        <f>[1]Variables!B27</f>
        <v>154853</v>
      </c>
      <c r="D21" s="73">
        <f t="shared" si="24"/>
        <v>54144.405594405594</v>
      </c>
      <c r="E21" s="74">
        <f>[1]Variables!D27</f>
        <v>17122</v>
      </c>
      <c r="F21" s="75">
        <f>[1]Variables!F27</f>
        <v>2292</v>
      </c>
      <c r="G21" s="83">
        <f>[1]Variables!J27</f>
        <v>3340</v>
      </c>
      <c r="H21" s="275"/>
      <c r="I21" s="14">
        <v>5</v>
      </c>
      <c r="J21" s="25">
        <f t="shared" si="20"/>
        <v>73558.405594405602</v>
      </c>
      <c r="K21" s="6">
        <f t="shared" si="25"/>
        <v>1.3992516347383965E-2</v>
      </c>
      <c r="L21" s="26">
        <f t="shared" si="21"/>
        <v>1472857.1121362923</v>
      </c>
      <c r="M21" s="25">
        <f t="shared" si="22"/>
        <v>3340</v>
      </c>
      <c r="N21" s="7">
        <f t="shared" si="26"/>
        <v>1.0817918878564002E-2</v>
      </c>
      <c r="O21" s="26">
        <f t="shared" si="23"/>
        <v>-379565.96138585964</v>
      </c>
      <c r="P21" s="38">
        <f t="shared" si="27"/>
        <v>1093291.1507504326</v>
      </c>
      <c r="Q21" s="33">
        <f t="shared" si="28"/>
        <v>1.5579815081793945E-2</v>
      </c>
      <c r="R21" s="275"/>
      <c r="S21" s="14">
        <v>5</v>
      </c>
      <c r="T21" s="37">
        <f t="shared" si="29"/>
        <v>1093291.1507504326</v>
      </c>
      <c r="U21" s="58">
        <f t="shared" si="30"/>
        <v>0</v>
      </c>
      <c r="V21" s="58">
        <f t="shared" si="31"/>
        <v>493291.15075043263</v>
      </c>
      <c r="W21" s="59">
        <f t="shared" si="32"/>
        <v>8.8410193082039228E-3</v>
      </c>
      <c r="X21" s="67">
        <f t="shared" si="33"/>
        <v>-10805.217708930086</v>
      </c>
      <c r="Y21" s="38">
        <f t="shared" si="34"/>
        <v>1082485.9330415025</v>
      </c>
      <c r="Z21" s="39">
        <f t="shared" si="35"/>
        <v>1.542583661621494E-2</v>
      </c>
    </row>
    <row r="22" spans="1:26" s="2" customFormat="1" x14ac:dyDescent="0.25">
      <c r="A22" s="275"/>
      <c r="B22" s="14">
        <v>6</v>
      </c>
      <c r="C22" s="72">
        <f>[1]Variables!B28</f>
        <v>69928</v>
      </c>
      <c r="D22" s="73">
        <f t="shared" si="24"/>
        <v>24450.34965034965</v>
      </c>
      <c r="E22" s="74">
        <f>[1]Variables!D28</f>
        <v>9609</v>
      </c>
      <c r="F22" s="75">
        <f>[1]Variables!F28</f>
        <v>1529</v>
      </c>
      <c r="G22" s="83">
        <f>[1]Variables!J28</f>
        <v>1534</v>
      </c>
      <c r="H22" s="275"/>
      <c r="I22" s="14">
        <v>6</v>
      </c>
      <c r="J22" s="25">
        <f t="shared" si="20"/>
        <v>35588.34965034965</v>
      </c>
      <c r="K22" s="6">
        <f t="shared" si="25"/>
        <v>6.7697302603960527E-3</v>
      </c>
      <c r="L22" s="26">
        <f t="shared" si="21"/>
        <v>712584.14953595866</v>
      </c>
      <c r="M22" s="25">
        <f t="shared" si="22"/>
        <v>1534</v>
      </c>
      <c r="N22" s="7">
        <f t="shared" si="26"/>
        <v>4.9684693292566407E-3</v>
      </c>
      <c r="O22" s="26">
        <f t="shared" si="23"/>
        <v>-174327.60022931398</v>
      </c>
      <c r="P22" s="38">
        <f t="shared" si="27"/>
        <v>538256.54930664471</v>
      </c>
      <c r="Q22" s="33">
        <f t="shared" si="28"/>
        <v>7.6703607259657599E-3</v>
      </c>
      <c r="R22" s="275"/>
      <c r="S22" s="14">
        <v>6</v>
      </c>
      <c r="T22" s="37">
        <f t="shared" si="29"/>
        <v>538256.54930664471</v>
      </c>
      <c r="U22" s="58">
        <f t="shared" si="30"/>
        <v>61743.450693355291</v>
      </c>
      <c r="V22" s="58">
        <f t="shared" si="31"/>
        <v>0</v>
      </c>
      <c r="W22" s="59">
        <f t="shared" si="32"/>
        <v>0</v>
      </c>
      <c r="X22" s="67">
        <f t="shared" si="33"/>
        <v>61743.450693355291</v>
      </c>
      <c r="Y22" s="38">
        <f t="shared" si="34"/>
        <v>600000</v>
      </c>
      <c r="Z22" s="39">
        <f t="shared" si="35"/>
        <v>8.5502284022513086E-3</v>
      </c>
    </row>
    <row r="23" spans="1:26" s="2" customFormat="1" x14ac:dyDescent="0.25">
      <c r="A23" s="275"/>
      <c r="B23" s="14">
        <v>7</v>
      </c>
      <c r="C23" s="72">
        <f>[1]Variables!B29</f>
        <v>37023</v>
      </c>
      <c r="D23" s="73">
        <f t="shared" si="24"/>
        <v>12945.104895104896</v>
      </c>
      <c r="E23" s="74">
        <f>[1]Variables!D29</f>
        <v>3739</v>
      </c>
      <c r="F23" s="75">
        <f>[1]Variables!F29</f>
        <v>636</v>
      </c>
      <c r="G23" s="83">
        <f>[1]Variables!J29</f>
        <v>581</v>
      </c>
      <c r="H23" s="275"/>
      <c r="I23" s="14">
        <v>7</v>
      </c>
      <c r="J23" s="25">
        <f t="shared" si="20"/>
        <v>17320.104895104894</v>
      </c>
      <c r="K23" s="6">
        <f t="shared" si="25"/>
        <v>3.2946860243201364E-3</v>
      </c>
      <c r="L23" s="26">
        <f t="shared" si="21"/>
        <v>346799.79088130197</v>
      </c>
      <c r="M23" s="25">
        <f t="shared" si="22"/>
        <v>581</v>
      </c>
      <c r="N23" s="7">
        <f t="shared" si="26"/>
        <v>1.881799661211283E-3</v>
      </c>
      <c r="O23" s="26">
        <f t="shared" si="23"/>
        <v>-66026.294480594137</v>
      </c>
      <c r="P23" s="38">
        <f t="shared" si="27"/>
        <v>280773.49640070787</v>
      </c>
      <c r="Q23" s="33">
        <f t="shared" si="28"/>
        <v>4.0011292058745639E-3</v>
      </c>
      <c r="R23" s="275"/>
      <c r="S23" s="14">
        <v>7</v>
      </c>
      <c r="T23" s="37">
        <f t="shared" si="29"/>
        <v>280773.49640070787</v>
      </c>
      <c r="U23" s="58">
        <f t="shared" si="30"/>
        <v>319226.50359929213</v>
      </c>
      <c r="V23" s="58">
        <f t="shared" si="31"/>
        <v>0</v>
      </c>
      <c r="W23" s="59">
        <f t="shared" si="32"/>
        <v>0</v>
      </c>
      <c r="X23" s="67">
        <f t="shared" si="33"/>
        <v>319226.50359929213</v>
      </c>
      <c r="Y23" s="38">
        <f t="shared" si="34"/>
        <v>600000</v>
      </c>
      <c r="Z23" s="39">
        <f t="shared" si="35"/>
        <v>8.5502284022513086E-3</v>
      </c>
    </row>
    <row r="24" spans="1:26" s="2" customFormat="1" x14ac:dyDescent="0.25">
      <c r="A24" s="275"/>
      <c r="B24" s="14">
        <v>8</v>
      </c>
      <c r="C24" s="72">
        <f>[1]Variables!B30</f>
        <v>103590</v>
      </c>
      <c r="D24" s="73">
        <f t="shared" si="24"/>
        <v>36220.279720279723</v>
      </c>
      <c r="E24" s="74">
        <f>[1]Variables!D30</f>
        <v>8971</v>
      </c>
      <c r="F24" s="75">
        <f>[1]Variables!F30</f>
        <v>1555</v>
      </c>
      <c r="G24" s="83">
        <f>[1]Variables!J30</f>
        <v>1852</v>
      </c>
      <c r="H24" s="275"/>
      <c r="I24" s="14">
        <v>8</v>
      </c>
      <c r="J24" s="25">
        <f t="shared" si="20"/>
        <v>46746.279720279723</v>
      </c>
      <c r="K24" s="6">
        <f t="shared" si="25"/>
        <v>8.8922275826917082E-3</v>
      </c>
      <c r="L24" s="26">
        <f t="shared" si="21"/>
        <v>935998.95206487284</v>
      </c>
      <c r="M24" s="25">
        <f t="shared" si="22"/>
        <v>1852</v>
      </c>
      <c r="N24" s="7">
        <f t="shared" si="26"/>
        <v>5.9984388512277038E-3</v>
      </c>
      <c r="O24" s="26">
        <f t="shared" si="23"/>
        <v>-210465.91631335687</v>
      </c>
      <c r="P24" s="38">
        <f t="shared" si="27"/>
        <v>725533.035751516</v>
      </c>
      <c r="Q24" s="33">
        <f t="shared" si="28"/>
        <v>1.0339121948423711E-2</v>
      </c>
      <c r="R24" s="275"/>
      <c r="S24" s="14">
        <v>8</v>
      </c>
      <c r="T24" s="37">
        <f t="shared" si="29"/>
        <v>725533.035751516</v>
      </c>
      <c r="U24" s="58">
        <f t="shared" si="30"/>
        <v>0</v>
      </c>
      <c r="V24" s="58">
        <f t="shared" si="31"/>
        <v>125533.035751516</v>
      </c>
      <c r="W24" s="59">
        <f t="shared" si="32"/>
        <v>2.2498680367734791E-3</v>
      </c>
      <c r="X24" s="67">
        <f t="shared" si="33"/>
        <v>-2749.7184551041628</v>
      </c>
      <c r="Y24" s="38">
        <f t="shared" si="34"/>
        <v>722783.31729641184</v>
      </c>
      <c r="Z24" s="39">
        <f t="shared" si="35"/>
        <v>1.0299937413702002E-2</v>
      </c>
    </row>
    <row r="25" spans="1:26" s="2" customFormat="1" x14ac:dyDescent="0.25">
      <c r="A25" s="275"/>
      <c r="B25" s="14">
        <v>9</v>
      </c>
      <c r="C25" s="72">
        <f>[1]Variables!B31</f>
        <v>75555</v>
      </c>
      <c r="D25" s="73">
        <f t="shared" si="24"/>
        <v>26417.83216783217</v>
      </c>
      <c r="E25" s="74">
        <f>[1]Variables!D31</f>
        <v>6533</v>
      </c>
      <c r="F25" s="75">
        <f>[1]Variables!F31</f>
        <v>1585</v>
      </c>
      <c r="G25" s="83">
        <f>[1]Variables!J31</f>
        <v>1349</v>
      </c>
      <c r="H25" s="275"/>
      <c r="I25" s="14">
        <v>9</v>
      </c>
      <c r="J25" s="25">
        <f t="shared" si="20"/>
        <v>34535.832167832166</v>
      </c>
      <c r="K25" s="6">
        <f t="shared" si="25"/>
        <v>6.5695170018156713E-3</v>
      </c>
      <c r="L25" s="26">
        <f t="shared" si="21"/>
        <v>691509.63266400015</v>
      </c>
      <c r="M25" s="25">
        <f t="shared" si="22"/>
        <v>1349</v>
      </c>
      <c r="N25" s="7">
        <f t="shared" si="26"/>
        <v>4.369273223707437E-3</v>
      </c>
      <c r="O25" s="26">
        <f t="shared" si="23"/>
        <v>-153303.73709866009</v>
      </c>
      <c r="P25" s="38">
        <f t="shared" si="27"/>
        <v>538205.89556534006</v>
      </c>
      <c r="Q25" s="33">
        <f t="shared" si="28"/>
        <v>7.669638890869788E-3</v>
      </c>
      <c r="R25" s="275"/>
      <c r="S25" s="14">
        <v>9</v>
      </c>
      <c r="T25" s="37">
        <f t="shared" si="29"/>
        <v>538205.89556534006</v>
      </c>
      <c r="U25" s="58">
        <f t="shared" si="30"/>
        <v>61794.104434659937</v>
      </c>
      <c r="V25" s="58">
        <f t="shared" si="31"/>
        <v>0</v>
      </c>
      <c r="W25" s="59">
        <f t="shared" si="32"/>
        <v>0</v>
      </c>
      <c r="X25" s="67">
        <f t="shared" si="33"/>
        <v>61794.104434659937</v>
      </c>
      <c r="Y25" s="38">
        <f t="shared" si="34"/>
        <v>600000</v>
      </c>
      <c r="Z25" s="39">
        <f t="shared" si="35"/>
        <v>8.5502284022513086E-3</v>
      </c>
    </row>
    <row r="26" spans="1:26" s="2" customFormat="1" x14ac:dyDescent="0.25">
      <c r="A26" s="275"/>
      <c r="B26" s="14">
        <v>10</v>
      </c>
      <c r="C26" s="72">
        <f>[1]Variables!B32</f>
        <v>108803</v>
      </c>
      <c r="D26" s="73">
        <f t="shared" si="24"/>
        <v>38043.006993006995</v>
      </c>
      <c r="E26" s="74">
        <f>[1]Variables!D32</f>
        <v>10862</v>
      </c>
      <c r="F26" s="75">
        <f>[1]Variables!F32</f>
        <v>2649</v>
      </c>
      <c r="G26" s="83">
        <f>[1]Variables!J32</f>
        <v>2736</v>
      </c>
      <c r="H26" s="275"/>
      <c r="I26" s="14">
        <v>10</v>
      </c>
      <c r="J26" s="25">
        <f t="shared" si="20"/>
        <v>51554.006993006995</v>
      </c>
      <c r="K26" s="6">
        <f t="shared" si="25"/>
        <v>9.8067689177545273E-3</v>
      </c>
      <c r="L26" s="26">
        <f t="shared" si="21"/>
        <v>1032263.8894248871</v>
      </c>
      <c r="M26" s="25">
        <f t="shared" si="22"/>
        <v>2736</v>
      </c>
      <c r="N26" s="7">
        <f t="shared" si="26"/>
        <v>8.8616245663925477E-3</v>
      </c>
      <c r="O26" s="26">
        <f t="shared" si="23"/>
        <v>-310925.88932685985</v>
      </c>
      <c r="P26" s="38">
        <f t="shared" si="27"/>
        <v>721338.00009802729</v>
      </c>
      <c r="Q26" s="33">
        <f t="shared" si="28"/>
        <v>1.0279341093435517E-2</v>
      </c>
      <c r="R26" s="275"/>
      <c r="S26" s="14">
        <v>10</v>
      </c>
      <c r="T26" s="37">
        <f t="shared" si="29"/>
        <v>721338.00009802729</v>
      </c>
      <c r="U26" s="58">
        <f t="shared" si="30"/>
        <v>0</v>
      </c>
      <c r="V26" s="58">
        <f t="shared" si="31"/>
        <v>121338.00009802729</v>
      </c>
      <c r="W26" s="59">
        <f t="shared" si="32"/>
        <v>2.1746824366371789E-3</v>
      </c>
      <c r="X26" s="67">
        <f t="shared" si="33"/>
        <v>-2657.8289625322559</v>
      </c>
      <c r="Y26" s="38">
        <f t="shared" si="34"/>
        <v>718680.17113549507</v>
      </c>
      <c r="Z26" s="39">
        <f t="shared" si="35"/>
        <v>1.0241466018962569E-2</v>
      </c>
    </row>
    <row r="27" spans="1:26" s="2" customFormat="1" x14ac:dyDescent="0.25">
      <c r="A27" s="275"/>
      <c r="B27" s="14">
        <v>11</v>
      </c>
      <c r="C27" s="72">
        <f>[1]Variables!B33</f>
        <v>152972</v>
      </c>
      <c r="D27" s="73">
        <f t="shared" si="24"/>
        <v>53486.71328671329</v>
      </c>
      <c r="E27" s="74">
        <f>[1]Variables!D33</f>
        <v>9071</v>
      </c>
      <c r="F27" s="75">
        <f>[1]Variables!F33</f>
        <v>3332</v>
      </c>
      <c r="G27" s="83">
        <f>[1]Variables!J33</f>
        <v>2558</v>
      </c>
      <c r="H27" s="275"/>
      <c r="I27" s="14">
        <v>11</v>
      </c>
      <c r="J27" s="25">
        <f t="shared" si="20"/>
        <v>65889.71328671329</v>
      </c>
      <c r="K27" s="6">
        <f t="shared" si="25"/>
        <v>1.2533753047508917E-2</v>
      </c>
      <c r="L27" s="26">
        <f t="shared" si="21"/>
        <v>1319307.182459343</v>
      </c>
      <c r="M27" s="25">
        <f t="shared" si="22"/>
        <v>2558</v>
      </c>
      <c r="N27" s="7">
        <f t="shared" si="26"/>
        <v>8.2851007459181798E-3</v>
      </c>
      <c r="O27" s="26">
        <f t="shared" si="23"/>
        <v>-290697.52372006857</v>
      </c>
      <c r="P27" s="38">
        <f t="shared" si="27"/>
        <v>1028609.6587392744</v>
      </c>
      <c r="Q27" s="33">
        <f t="shared" si="28"/>
        <v>1.4658079198304284E-2</v>
      </c>
      <c r="R27" s="275"/>
      <c r="S27" s="14">
        <v>11</v>
      </c>
      <c r="T27" s="37">
        <f t="shared" si="29"/>
        <v>1028609.6587392744</v>
      </c>
      <c r="U27" s="58">
        <f t="shared" si="30"/>
        <v>0</v>
      </c>
      <c r="V27" s="58">
        <f t="shared" si="31"/>
        <v>428609.65873927437</v>
      </c>
      <c r="W27" s="59">
        <f t="shared" si="32"/>
        <v>7.6817641322613883E-3</v>
      </c>
      <c r="X27" s="67">
        <f t="shared" si="33"/>
        <v>-9388.4122344029838</v>
      </c>
      <c r="Y27" s="38">
        <f t="shared" si="34"/>
        <v>1019221.2465048714</v>
      </c>
      <c r="Z27" s="39">
        <f t="shared" si="35"/>
        <v>1.4524290750073224E-2</v>
      </c>
    </row>
    <row r="28" spans="1:26" s="2" customFormat="1" x14ac:dyDescent="0.25">
      <c r="A28" s="275"/>
      <c r="B28" s="14">
        <v>12</v>
      </c>
      <c r="C28" s="72">
        <f>[1]Variables!B34</f>
        <v>64820</v>
      </c>
      <c r="D28" s="73">
        <f t="shared" si="24"/>
        <v>22664.335664335664</v>
      </c>
      <c r="E28" s="74">
        <f>[1]Variables!D34</f>
        <v>5220</v>
      </c>
      <c r="F28" s="75">
        <f>[1]Variables!F34</f>
        <v>1110</v>
      </c>
      <c r="G28" s="83">
        <f>[1]Variables!J34</f>
        <v>1346</v>
      </c>
      <c r="H28" s="275"/>
      <c r="I28" s="14">
        <v>12</v>
      </c>
      <c r="J28" s="25">
        <f t="shared" si="20"/>
        <v>28994.335664335664</v>
      </c>
      <c r="K28" s="6">
        <f t="shared" si="25"/>
        <v>5.5153957251570717E-3</v>
      </c>
      <c r="L28" s="26">
        <f t="shared" si="21"/>
        <v>580552.46235695423</v>
      </c>
      <c r="M28" s="25">
        <f t="shared" si="22"/>
        <v>1346</v>
      </c>
      <c r="N28" s="7">
        <f t="shared" si="26"/>
        <v>4.3595565301039361E-3</v>
      </c>
      <c r="O28" s="26">
        <f t="shared" si="23"/>
        <v>-152962.80958843324</v>
      </c>
      <c r="P28" s="38">
        <f t="shared" si="27"/>
        <v>427589.65276852099</v>
      </c>
      <c r="Q28" s="33">
        <f t="shared" si="28"/>
        <v>6.0933153226836387E-3</v>
      </c>
      <c r="R28" s="275"/>
      <c r="S28" s="14">
        <v>12</v>
      </c>
      <c r="T28" s="37">
        <f t="shared" si="29"/>
        <v>427589.65276852099</v>
      </c>
      <c r="U28" s="58">
        <f t="shared" si="30"/>
        <v>172410.34723147901</v>
      </c>
      <c r="V28" s="58">
        <f t="shared" si="31"/>
        <v>0</v>
      </c>
      <c r="W28" s="59">
        <f t="shared" si="32"/>
        <v>0</v>
      </c>
      <c r="X28" s="67">
        <f t="shared" si="33"/>
        <v>172410.34723147901</v>
      </c>
      <c r="Y28" s="38">
        <f t="shared" si="34"/>
        <v>600000</v>
      </c>
      <c r="Z28" s="39">
        <f t="shared" si="35"/>
        <v>8.5502284022513086E-3</v>
      </c>
    </row>
    <row r="29" spans="1:26" s="2" customFormat="1" x14ac:dyDescent="0.25">
      <c r="A29" s="275"/>
      <c r="B29" s="14">
        <v>13</v>
      </c>
      <c r="C29" s="72">
        <f>[1]Variables!B35</f>
        <v>12161</v>
      </c>
      <c r="D29" s="73">
        <f t="shared" si="24"/>
        <v>4252.0979020979021</v>
      </c>
      <c r="E29" s="74">
        <f>[1]Variables!D35</f>
        <v>1216</v>
      </c>
      <c r="F29" s="75">
        <f>[1]Variables!F35</f>
        <v>222</v>
      </c>
      <c r="G29" s="83">
        <f>[1]Variables!J35</f>
        <v>433</v>
      </c>
      <c r="H29" s="275"/>
      <c r="I29" s="14">
        <v>13</v>
      </c>
      <c r="J29" s="25">
        <f t="shared" si="20"/>
        <v>5690.0979020979021</v>
      </c>
      <c r="K29" s="6">
        <f t="shared" si="25"/>
        <v>1.0823887123428272E-3</v>
      </c>
      <c r="L29" s="26">
        <f t="shared" si="21"/>
        <v>113932.61036770046</v>
      </c>
      <c r="M29" s="25">
        <f t="shared" si="22"/>
        <v>433</v>
      </c>
      <c r="N29" s="7">
        <f t="shared" si="26"/>
        <v>1.4024427767719201E-3</v>
      </c>
      <c r="O29" s="26">
        <f t="shared" si="23"/>
        <v>-49207.203976071025</v>
      </c>
      <c r="P29" s="38">
        <f t="shared" si="27"/>
        <v>64725.406391629433</v>
      </c>
      <c r="Q29" s="33">
        <f t="shared" si="28"/>
        <v>9.2236168012828064E-4</v>
      </c>
      <c r="R29" s="275"/>
      <c r="S29" s="14">
        <v>13</v>
      </c>
      <c r="T29" s="37">
        <f t="shared" si="29"/>
        <v>64725.406391629433</v>
      </c>
      <c r="U29" s="58">
        <f t="shared" si="30"/>
        <v>535274.59360837052</v>
      </c>
      <c r="V29" s="58">
        <f t="shared" si="31"/>
        <v>0</v>
      </c>
      <c r="W29" s="59">
        <f t="shared" si="32"/>
        <v>0</v>
      </c>
      <c r="X29" s="67">
        <f t="shared" si="33"/>
        <v>535274.59360837052</v>
      </c>
      <c r="Y29" s="38">
        <f t="shared" si="34"/>
        <v>600000</v>
      </c>
      <c r="Z29" s="39">
        <f t="shared" si="35"/>
        <v>8.5502284022513086E-3</v>
      </c>
    </row>
    <row r="30" spans="1:26" s="2" customFormat="1" ht="13.5" thickBot="1" x14ac:dyDescent="0.3">
      <c r="A30" s="276"/>
      <c r="B30" s="15" t="s">
        <v>2</v>
      </c>
      <c r="C30" s="76">
        <f>SUM(C17:C29)</f>
        <v>1314069</v>
      </c>
      <c r="D30" s="77">
        <f t="shared" ref="D30:G30" si="36">SUM(D17:D29)</f>
        <v>459464.68531468534</v>
      </c>
      <c r="E30" s="77">
        <f t="shared" si="36"/>
        <v>122219</v>
      </c>
      <c r="F30" s="78">
        <f t="shared" si="36"/>
        <v>23087</v>
      </c>
      <c r="G30" s="84">
        <f t="shared" si="36"/>
        <v>29493</v>
      </c>
      <c r="H30" s="276"/>
      <c r="I30" s="15" t="s">
        <v>2</v>
      </c>
      <c r="J30" s="27">
        <f>SUM(J17:J29)</f>
        <v>604770.68531468522</v>
      </c>
      <c r="K30" s="19">
        <f t="shared" ref="K30:O30" si="37">SUM(K17:K29)</f>
        <v>0.1150414236456469</v>
      </c>
      <c r="L30" s="28">
        <f t="shared" si="37"/>
        <v>12109300.057273375</v>
      </c>
      <c r="M30" s="27">
        <f t="shared" si="37"/>
        <v>29493</v>
      </c>
      <c r="N30" s="19">
        <f t="shared" si="37"/>
        <v>9.5524814816014381E-2</v>
      </c>
      <c r="O30" s="28">
        <f t="shared" si="37"/>
        <v>-3351658.3530398677</v>
      </c>
      <c r="P30" s="42">
        <f>SUM(P17:P29)</f>
        <v>8757641.7042335067</v>
      </c>
      <c r="Q30" s="20">
        <f>P30/$P$31</f>
        <v>0.12479972806046315</v>
      </c>
      <c r="R30" s="276"/>
      <c r="S30" s="15" t="s">
        <v>2</v>
      </c>
      <c r="T30" s="40">
        <f t="shared" ref="T30:Y30" si="38">SUM(T17:T29)</f>
        <v>8757641.7042335067</v>
      </c>
      <c r="U30" s="62">
        <f t="shared" si="38"/>
        <v>1222168.7717505048</v>
      </c>
      <c r="V30" s="62">
        <f t="shared" si="38"/>
        <v>2179810.4759840118</v>
      </c>
      <c r="W30" s="63">
        <f t="shared" si="38"/>
        <v>3.906769151865417E-2</v>
      </c>
      <c r="X30" s="41">
        <f t="shared" si="38"/>
        <v>1174421.4591920236</v>
      </c>
      <c r="Y30" s="42">
        <f t="shared" si="38"/>
        <v>9932063.1634255312</v>
      </c>
      <c r="Z30" s="43">
        <f>Y30/$Y$31</f>
        <v>0.14153568092145827</v>
      </c>
    </row>
    <row r="31" spans="1:26" s="2" customFormat="1" ht="13.5" thickBot="1" x14ac:dyDescent="0.3">
      <c r="B31" s="16" t="s">
        <v>0</v>
      </c>
      <c r="C31" s="79">
        <f>SUM(C16,C30)</f>
        <v>9642118</v>
      </c>
      <c r="D31" s="80">
        <f t="shared" ref="D31:G31" si="39">SUM(D16,D30)</f>
        <v>3371369.9300699299</v>
      </c>
      <c r="E31" s="80">
        <f t="shared" si="39"/>
        <v>1614679</v>
      </c>
      <c r="F31" s="81">
        <f t="shared" si="39"/>
        <v>270933</v>
      </c>
      <c r="G31" s="85">
        <f t="shared" si="39"/>
        <v>308747</v>
      </c>
      <c r="I31" s="16" t="s">
        <v>0</v>
      </c>
      <c r="J31" s="29">
        <f t="shared" ref="J31:P31" si="40">SUM(J3:J15)+SUM(J17:J29)</f>
        <v>5256981.9300699299</v>
      </c>
      <c r="K31" s="217">
        <f t="shared" si="40"/>
        <v>1</v>
      </c>
      <c r="L31" s="30">
        <f t="shared" si="40"/>
        <v>105260346.00000003</v>
      </c>
      <c r="M31" s="29">
        <f t="shared" si="40"/>
        <v>308747</v>
      </c>
      <c r="N31" s="17">
        <f t="shared" si="40"/>
        <v>1</v>
      </c>
      <c r="O31" s="30">
        <f t="shared" si="40"/>
        <v>-35086781.999999993</v>
      </c>
      <c r="P31" s="46">
        <f t="shared" si="40"/>
        <v>70173564</v>
      </c>
      <c r="Q31" s="18">
        <f>P31/$P$31</f>
        <v>1</v>
      </c>
      <c r="S31" s="16" t="s">
        <v>0</v>
      </c>
      <c r="T31" s="44">
        <f>SUM(T16,T30)</f>
        <v>70173564</v>
      </c>
      <c r="U31" s="64">
        <f>SUM(U17:U29)+SUM(U3:U15)</f>
        <v>1222168.7717505048</v>
      </c>
      <c r="V31" s="64">
        <f>SUM(V17:V29)+SUM(V3:V15)</f>
        <v>55795732.77175051</v>
      </c>
      <c r="W31" s="65">
        <f>SUM(W17:W29)+SUM(W3:W15)</f>
        <v>0.99999999999999989</v>
      </c>
      <c r="X31" s="45">
        <f>SUM(X17:X29)+SUM(X3:X15)</f>
        <v>0</v>
      </c>
      <c r="Y31" s="46">
        <f>SUM(Y17:Y29)+SUM(Y3:Y15)</f>
        <v>70173564</v>
      </c>
      <c r="Z31" s="47">
        <f>Y31/$Y$31</f>
        <v>1</v>
      </c>
    </row>
    <row r="32" spans="1:26" x14ac:dyDescent="0.2">
      <c r="B32" s="278"/>
      <c r="C32" s="278"/>
      <c r="D32" s="278"/>
      <c r="E32" s="278"/>
      <c r="F32" s="278"/>
      <c r="G32" s="278"/>
      <c r="I32" s="278"/>
      <c r="J32" s="278"/>
      <c r="K32" s="278"/>
      <c r="L32" s="278"/>
      <c r="M32" s="278"/>
      <c r="N32" s="278"/>
      <c r="O32" s="278"/>
      <c r="P32" s="278"/>
      <c r="Q32" s="278"/>
      <c r="R32" s="218"/>
      <c r="S32" s="278"/>
      <c r="T32" s="278"/>
      <c r="U32" s="278"/>
      <c r="V32" s="278"/>
      <c r="W32" s="278"/>
      <c r="X32" s="278"/>
      <c r="Y32" s="278"/>
      <c r="Z32" s="278"/>
    </row>
    <row r="33" spans="1:26" ht="15" customHeight="1" x14ac:dyDescent="0.2">
      <c r="A33" s="271" t="s">
        <v>7</v>
      </c>
      <c r="B33" s="271"/>
      <c r="C33" s="271"/>
      <c r="D33" s="271"/>
      <c r="E33" s="271"/>
      <c r="F33" s="271"/>
      <c r="G33" s="86">
        <v>2.86</v>
      </c>
      <c r="H33" s="272" t="s">
        <v>65</v>
      </c>
      <c r="I33" s="272"/>
      <c r="J33" s="272"/>
      <c r="K33" s="272"/>
      <c r="L33" s="272"/>
      <c r="M33" s="272"/>
      <c r="N33" s="272"/>
      <c r="O33" s="272"/>
      <c r="P33" s="272"/>
      <c r="Q33" s="219">
        <v>70173564</v>
      </c>
      <c r="R33" s="4"/>
      <c r="S33" s="273" t="s">
        <v>15</v>
      </c>
      <c r="T33" s="273"/>
      <c r="U33" s="273"/>
      <c r="V33" s="273"/>
      <c r="W33" s="273"/>
      <c r="X33" s="273"/>
      <c r="Y33" s="273"/>
      <c r="Z33" s="5">
        <v>600000</v>
      </c>
    </row>
    <row r="34" spans="1:26" ht="12.75" customHeight="1" x14ac:dyDescent="0.2">
      <c r="H34" s="271" t="s">
        <v>9</v>
      </c>
      <c r="I34" s="271"/>
      <c r="J34" s="271"/>
      <c r="K34" s="271"/>
      <c r="L34" s="271"/>
      <c r="M34" s="271"/>
      <c r="N34" s="271"/>
      <c r="O34" s="271"/>
      <c r="P34" s="271"/>
      <c r="Q34" s="3">
        <v>1.5</v>
      </c>
      <c r="R34" s="3"/>
    </row>
    <row r="35" spans="1:26" ht="12.75" customHeight="1" x14ac:dyDescent="0.2">
      <c r="H35" s="271" t="s">
        <v>10</v>
      </c>
      <c r="I35" s="271"/>
      <c r="J35" s="271"/>
      <c r="K35" s="271"/>
      <c r="L35" s="271"/>
      <c r="M35" s="271"/>
      <c r="N35" s="271"/>
      <c r="O35" s="271"/>
      <c r="P35" s="271"/>
      <c r="Q35" s="3">
        <v>-0.5</v>
      </c>
      <c r="R35" s="3"/>
    </row>
    <row r="36" spans="1:26" x14ac:dyDescent="0.2">
      <c r="R36" s="3"/>
    </row>
  </sheetData>
  <sheetProtection sheet="1" objects="1" scenarios="1"/>
  <mergeCells count="17">
    <mergeCell ref="A33:F33"/>
    <mergeCell ref="H33:P33"/>
    <mergeCell ref="S33:Y33"/>
    <mergeCell ref="H34:P34"/>
    <mergeCell ref="H35:P35"/>
    <mergeCell ref="S32:Z32"/>
    <mergeCell ref="A1:G1"/>
    <mergeCell ref="H1:Q1"/>
    <mergeCell ref="R1:Z1"/>
    <mergeCell ref="A3:A16"/>
    <mergeCell ref="H3:H16"/>
    <mergeCell ref="R3:R16"/>
    <mergeCell ref="A17:A30"/>
    <mergeCell ref="H17:H30"/>
    <mergeCell ref="R17:R30"/>
    <mergeCell ref="B32:G32"/>
    <mergeCell ref="I32:Q32"/>
  </mergeCells>
  <pageMargins left="0.25" right="0.25" top="0.75" bottom="0.75" header="0.3" footer="0.3"/>
  <pageSetup orientation="landscape" r:id="rId1"/>
  <headerFooter>
    <oddHeader>&amp;CTexas Department of Housing and Community Affairs 
Example 2021 HTC Regional Allocation Formula</oddHeader>
    <oddFooter>&amp;L04/01/2019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0"/>
  <sheetViews>
    <sheetView tabSelected="1" topLeftCell="A5" zoomScale="80" zoomScaleNormal="80" workbookViewId="0">
      <selection activeCell="C7" sqref="C7:M8"/>
    </sheetView>
  </sheetViews>
  <sheetFormatPr defaultColWidth="9.140625" defaultRowHeight="15.75" x14ac:dyDescent="0.25"/>
  <cols>
    <col min="1" max="1" width="2.28515625" style="88" customWidth="1"/>
    <col min="2" max="2" width="8" style="88" customWidth="1"/>
    <col min="3" max="3" width="3.85546875" style="88" customWidth="1"/>
    <col min="4" max="4" width="26.28515625" style="88" customWidth="1"/>
    <col min="5" max="5" width="18.5703125" style="88" customWidth="1"/>
    <col min="6" max="6" width="18.5703125" style="225" customWidth="1"/>
    <col min="7" max="8" width="16.28515625" style="88" customWidth="1"/>
    <col min="9" max="9" width="18.85546875" style="88" customWidth="1"/>
    <col min="10" max="10" width="16.140625" style="88" customWidth="1"/>
    <col min="11" max="11" width="16.28515625" style="88" customWidth="1"/>
    <col min="12" max="12" width="20.85546875" style="88" customWidth="1"/>
    <col min="13" max="13" width="13.28515625" style="88" customWidth="1"/>
    <col min="14" max="14" width="2.7109375" style="88" customWidth="1"/>
    <col min="15" max="15" width="22.42578125" style="88" customWidth="1"/>
    <col min="16" max="16" width="17" style="88" customWidth="1"/>
    <col min="17" max="17" width="19" style="88" customWidth="1"/>
    <col min="18" max="18" width="31.28515625" style="104" hidden="1" customWidth="1"/>
    <col min="19" max="19" width="18" style="104" hidden="1" customWidth="1"/>
    <col min="20" max="23" width="8.85546875" style="104"/>
    <col min="24" max="24" width="24" style="104" customWidth="1"/>
    <col min="25" max="26" width="15.42578125" style="104" customWidth="1"/>
    <col min="27" max="27" width="16.28515625" style="104" customWidth="1"/>
    <col min="28" max="28" width="19.5703125" style="104" customWidth="1"/>
    <col min="29" max="31" width="8.85546875" style="104"/>
    <col min="32" max="32" width="20.7109375" style="104" customWidth="1"/>
    <col min="33" max="35" width="15.7109375" style="104" customWidth="1"/>
    <col min="36" max="36" width="15.7109375" style="88" customWidth="1"/>
    <col min="37" max="16384" width="9.140625" style="88"/>
  </cols>
  <sheetData>
    <row r="1" spans="1:36" hidden="1" x14ac:dyDescent="0.25"/>
    <row r="2" spans="1:36" hidden="1" x14ac:dyDescent="0.25"/>
    <row r="3" spans="1:36" hidden="1" x14ac:dyDescent="0.25"/>
    <row r="4" spans="1:36" ht="27" hidden="1" customHeight="1" x14ac:dyDescent="0.25"/>
    <row r="5" spans="1:36" ht="38.25" customHeight="1" thickBot="1" x14ac:dyDescent="0.3">
      <c r="A5" s="279" t="s">
        <v>72</v>
      </c>
      <c r="B5" s="279"/>
      <c r="C5" s="279"/>
      <c r="D5" s="279"/>
      <c r="E5" s="279"/>
      <c r="F5" s="279"/>
      <c r="G5" s="279"/>
      <c r="H5" s="279"/>
      <c r="I5" s="279"/>
      <c r="J5" s="279"/>
      <c r="K5" s="279"/>
      <c r="L5" s="279"/>
      <c r="M5" s="279"/>
      <c r="N5" s="279"/>
      <c r="O5" s="279"/>
      <c r="P5" s="279"/>
      <c r="Q5" s="279"/>
    </row>
    <row r="6" spans="1:36" ht="0.75" customHeight="1" thickBot="1" x14ac:dyDescent="0.3">
      <c r="A6" s="89"/>
      <c r="B6" s="89"/>
      <c r="C6" s="89"/>
      <c r="D6" s="89"/>
      <c r="E6" s="89"/>
      <c r="F6" s="226"/>
      <c r="G6" s="89"/>
      <c r="H6" s="89"/>
      <c r="I6" s="89"/>
      <c r="J6" s="89"/>
      <c r="K6" s="89"/>
      <c r="L6" s="89"/>
      <c r="M6" s="89"/>
      <c r="N6" s="89"/>
    </row>
    <row r="7" spans="1:36" ht="15" customHeight="1" x14ac:dyDescent="0.25">
      <c r="A7" s="105"/>
      <c r="B7" s="106"/>
      <c r="C7" s="281" t="s">
        <v>66</v>
      </c>
      <c r="D7" s="282"/>
      <c r="E7" s="282"/>
      <c r="F7" s="282"/>
      <c r="G7" s="282"/>
      <c r="H7" s="282"/>
      <c r="I7" s="282"/>
      <c r="J7" s="282"/>
      <c r="K7" s="282"/>
      <c r="L7" s="282"/>
      <c r="M7" s="283"/>
      <c r="N7" s="89"/>
      <c r="O7" s="287" t="s">
        <v>31</v>
      </c>
      <c r="P7" s="289" t="s">
        <v>32</v>
      </c>
      <c r="Q7" s="290"/>
    </row>
    <row r="8" spans="1:36" ht="16.5" thickBot="1" x14ac:dyDescent="0.3">
      <c r="A8" s="107"/>
      <c r="B8" s="108"/>
      <c r="C8" s="284"/>
      <c r="D8" s="285"/>
      <c r="E8" s="285"/>
      <c r="F8" s="285"/>
      <c r="G8" s="285"/>
      <c r="H8" s="285"/>
      <c r="I8" s="285"/>
      <c r="J8" s="285"/>
      <c r="K8" s="285"/>
      <c r="L8" s="285"/>
      <c r="M8" s="286"/>
      <c r="N8" s="89"/>
      <c r="O8" s="288"/>
      <c r="P8" s="291"/>
      <c r="Q8" s="292"/>
    </row>
    <row r="9" spans="1:36" ht="16.5" thickBot="1" x14ac:dyDescent="0.3">
      <c r="A9" s="106"/>
      <c r="B9" s="109"/>
      <c r="C9" s="296">
        <v>44287</v>
      </c>
      <c r="D9" s="297"/>
      <c r="E9" s="110"/>
      <c r="F9" s="227"/>
      <c r="G9" s="106"/>
      <c r="H9" s="106"/>
      <c r="I9" s="106"/>
      <c r="J9" s="106"/>
      <c r="K9" s="106"/>
      <c r="L9" s="106"/>
      <c r="M9" s="106"/>
      <c r="N9" s="111"/>
      <c r="O9" s="106"/>
      <c r="P9" s="106"/>
      <c r="Q9" s="106"/>
      <c r="AJ9" s="90"/>
    </row>
    <row r="10" spans="1:36" ht="63.75" thickBot="1" x14ac:dyDescent="0.3">
      <c r="A10" s="112"/>
      <c r="B10" s="113"/>
      <c r="C10" s="114" t="s">
        <v>1</v>
      </c>
      <c r="D10" s="115" t="s">
        <v>33</v>
      </c>
      <c r="E10" s="115" t="s">
        <v>34</v>
      </c>
      <c r="F10" s="228" t="s">
        <v>70</v>
      </c>
      <c r="G10" s="115" t="s">
        <v>71</v>
      </c>
      <c r="H10" s="115" t="s">
        <v>35</v>
      </c>
      <c r="I10" s="115" t="s">
        <v>36</v>
      </c>
      <c r="J10" s="115" t="s">
        <v>37</v>
      </c>
      <c r="K10" s="115" t="s">
        <v>26</v>
      </c>
      <c r="L10" s="116" t="s">
        <v>38</v>
      </c>
      <c r="M10" s="117" t="s">
        <v>39</v>
      </c>
      <c r="N10" s="89"/>
      <c r="O10" s="118" t="s">
        <v>40</v>
      </c>
      <c r="P10" s="91" t="s">
        <v>58</v>
      </c>
      <c r="Q10" s="91" t="s">
        <v>41</v>
      </c>
    </row>
    <row r="11" spans="1:36" ht="15" customHeight="1" x14ac:dyDescent="0.25">
      <c r="A11" s="119"/>
      <c r="B11" s="293" t="s">
        <v>42</v>
      </c>
      <c r="C11" s="120">
        <v>1</v>
      </c>
      <c r="D11" s="121" t="s">
        <v>43</v>
      </c>
      <c r="E11" s="122">
        <v>1302315.4355355827</v>
      </c>
      <c r="F11" s="229"/>
      <c r="G11" s="222">
        <f t="shared" ref="G11:G17" si="0">SUM(E11,F11)</f>
        <v>1302315.4355355827</v>
      </c>
      <c r="H11" s="123">
        <f t="shared" ref="H11:H23" si="1">IF(E11&lt;600000,600000-E11,0)</f>
        <v>0</v>
      </c>
      <c r="I11" s="123">
        <f t="shared" ref="I11:I23" si="2">IF(E11&gt;600000,E11-600000,0)</f>
        <v>702315.43553558271</v>
      </c>
      <c r="J11" s="124">
        <f t="shared" ref="J11:J23" si="3">IF(E11&gt;600000,(E11-600000)/$I$42,0)</f>
        <v>1.2587260721328252E-2</v>
      </c>
      <c r="K11" s="123">
        <f t="shared" ref="K11:K23" si="4">IF(E11&lt;600000,H11,-J11*$H$42)</f>
        <v>-15383.756975489123</v>
      </c>
      <c r="L11" s="125">
        <f t="shared" ref="L11:L23" si="5">E11+K11</f>
        <v>1286931.6785600935</v>
      </c>
      <c r="M11" s="126">
        <f>L11/$E$42</f>
        <v>1.8339266316302439E-2</v>
      </c>
      <c r="N11" s="89"/>
      <c r="O11" s="92">
        <v>1500000</v>
      </c>
      <c r="P11" s="93" t="s">
        <v>44</v>
      </c>
      <c r="Q11" s="94" t="s">
        <v>44</v>
      </c>
      <c r="R11" s="127">
        <f>L11*150%</f>
        <v>1930397.5178401403</v>
      </c>
    </row>
    <row r="12" spans="1:36" x14ac:dyDescent="0.25">
      <c r="A12" s="119"/>
      <c r="B12" s="294"/>
      <c r="C12" s="128">
        <v>2</v>
      </c>
      <c r="D12" s="129" t="s">
        <v>45</v>
      </c>
      <c r="E12" s="130">
        <v>639447.9659063227</v>
      </c>
      <c r="F12" s="230"/>
      <c r="G12" s="223">
        <f t="shared" si="0"/>
        <v>639447.9659063227</v>
      </c>
      <c r="H12" s="131">
        <f t="shared" si="1"/>
        <v>0</v>
      </c>
      <c r="I12" s="131">
        <f t="shared" si="2"/>
        <v>39447.965906322701</v>
      </c>
      <c r="J12" s="132">
        <f t="shared" si="3"/>
        <v>7.0700686139738781E-4</v>
      </c>
      <c r="K12" s="131">
        <f t="shared" si="4"/>
        <v>-864.08170741322488</v>
      </c>
      <c r="L12" s="133">
        <f t="shared" si="5"/>
        <v>638583.88419890951</v>
      </c>
      <c r="M12" s="134">
        <f t="shared" ref="M12:M23" si="6">L12/$E$42</f>
        <v>9.1000634398291282E-3</v>
      </c>
      <c r="N12" s="89"/>
      <c r="O12" s="95">
        <f>PRODUCT(L12,1.5)</f>
        <v>957875.82629836421</v>
      </c>
      <c r="P12" s="96" t="s">
        <v>44</v>
      </c>
      <c r="Q12" s="97" t="s">
        <v>44</v>
      </c>
      <c r="R12" s="127">
        <f t="shared" ref="R12:R37" si="7">L12*150%</f>
        <v>957875.82629836421</v>
      </c>
    </row>
    <row r="13" spans="1:36" x14ac:dyDescent="0.25">
      <c r="A13" s="119"/>
      <c r="B13" s="294"/>
      <c r="C13" s="128">
        <v>3</v>
      </c>
      <c r="D13" s="129" t="s">
        <v>59</v>
      </c>
      <c r="E13" s="130">
        <v>17223593.277685866</v>
      </c>
      <c r="F13" s="230"/>
      <c r="G13" s="223">
        <f t="shared" si="0"/>
        <v>17223593.277685866</v>
      </c>
      <c r="H13" s="131">
        <f t="shared" si="1"/>
        <v>0</v>
      </c>
      <c r="I13" s="131">
        <f t="shared" si="2"/>
        <v>16623593.277685866</v>
      </c>
      <c r="J13" s="132">
        <f t="shared" si="3"/>
        <v>0.29793664231796635</v>
      </c>
      <c r="K13" s="131">
        <f t="shared" si="4"/>
        <v>-364128.8602012184</v>
      </c>
      <c r="L13" s="133">
        <f t="shared" si="5"/>
        <v>16859464.417484649</v>
      </c>
      <c r="M13" s="134">
        <f t="shared" si="6"/>
        <v>0.24025378584853763</v>
      </c>
      <c r="N13" s="89"/>
      <c r="O13" s="95">
        <v>1500000</v>
      </c>
      <c r="P13" s="96">
        <v>0.41210000000000002</v>
      </c>
      <c r="Q13" s="97">
        <f>L13*P13</f>
        <v>6947785.286445424</v>
      </c>
      <c r="R13" s="127">
        <f t="shared" si="7"/>
        <v>25289196.626226973</v>
      </c>
      <c r="X13" s="127"/>
    </row>
    <row r="14" spans="1:36" x14ac:dyDescent="0.25">
      <c r="A14" s="119"/>
      <c r="B14" s="294"/>
      <c r="C14" s="128">
        <v>4</v>
      </c>
      <c r="D14" s="129" t="s">
        <v>46</v>
      </c>
      <c r="E14" s="130">
        <v>1404000.9657206344</v>
      </c>
      <c r="F14" s="230"/>
      <c r="G14" s="223">
        <f t="shared" si="0"/>
        <v>1404000.9657206344</v>
      </c>
      <c r="H14" s="131">
        <f t="shared" si="1"/>
        <v>0</v>
      </c>
      <c r="I14" s="131">
        <f t="shared" si="2"/>
        <v>804000.96572063444</v>
      </c>
      <c r="J14" s="132">
        <f t="shared" si="3"/>
        <v>1.4409721420984756E-2</v>
      </c>
      <c r="K14" s="131">
        <f t="shared" si="4"/>
        <v>-17611.111530351878</v>
      </c>
      <c r="L14" s="133">
        <f t="shared" si="5"/>
        <v>1386389.8541902825</v>
      </c>
      <c r="M14" s="134">
        <f t="shared" si="6"/>
        <v>1.9756583179818009E-2</v>
      </c>
      <c r="N14" s="89"/>
      <c r="O14" s="95">
        <v>1500000</v>
      </c>
      <c r="P14" s="96" t="s">
        <v>44</v>
      </c>
      <c r="Q14" s="97" t="s">
        <v>44</v>
      </c>
      <c r="R14" s="127">
        <f t="shared" si="7"/>
        <v>2079584.7812854238</v>
      </c>
    </row>
    <row r="15" spans="1:36" x14ac:dyDescent="0.25">
      <c r="A15" s="119"/>
      <c r="B15" s="294"/>
      <c r="C15" s="128">
        <v>5</v>
      </c>
      <c r="D15" s="129" t="s">
        <v>47</v>
      </c>
      <c r="E15" s="130">
        <v>1008521.6606079717</v>
      </c>
      <c r="F15" s="230"/>
      <c r="G15" s="223">
        <f t="shared" si="0"/>
        <v>1008521.6606079717</v>
      </c>
      <c r="H15" s="131">
        <f t="shared" si="1"/>
        <v>0</v>
      </c>
      <c r="I15" s="131">
        <f t="shared" si="2"/>
        <v>408521.66060797172</v>
      </c>
      <c r="J15" s="132">
        <f t="shared" si="3"/>
        <v>7.3217366331427957E-3</v>
      </c>
      <c r="K15" s="131">
        <f t="shared" si="4"/>
        <v>-8948.3978680088076</v>
      </c>
      <c r="L15" s="133">
        <f t="shared" si="5"/>
        <v>999573.2627399629</v>
      </c>
      <c r="M15" s="134">
        <f t="shared" si="6"/>
        <v>1.4244299502017069E-2</v>
      </c>
      <c r="N15" s="89"/>
      <c r="O15" s="95">
        <f>PRODUCT(L15,1.5)</f>
        <v>1499359.8941099443</v>
      </c>
      <c r="P15" s="96" t="s">
        <v>44</v>
      </c>
      <c r="Q15" s="97" t="s">
        <v>44</v>
      </c>
      <c r="R15" s="127">
        <f t="shared" si="7"/>
        <v>1499359.8941099443</v>
      </c>
    </row>
    <row r="16" spans="1:36" x14ac:dyDescent="0.25">
      <c r="A16" s="119"/>
      <c r="B16" s="294"/>
      <c r="C16" s="128">
        <v>6</v>
      </c>
      <c r="D16" s="129" t="s">
        <v>48</v>
      </c>
      <c r="E16" s="130">
        <v>15853314.073777204</v>
      </c>
      <c r="F16" s="230"/>
      <c r="G16" s="223">
        <f t="shared" si="0"/>
        <v>15853314.073777204</v>
      </c>
      <c r="H16" s="131">
        <f t="shared" si="1"/>
        <v>0</v>
      </c>
      <c r="I16" s="131">
        <f t="shared" si="2"/>
        <v>15253314.073777204</v>
      </c>
      <c r="J16" s="132">
        <f t="shared" si="3"/>
        <v>0.27337778923301437</v>
      </c>
      <c r="K16" s="131">
        <f t="shared" si="4"/>
        <v>-334113.79689078155</v>
      </c>
      <c r="L16" s="133">
        <f t="shared" si="5"/>
        <v>15519200.276886422</v>
      </c>
      <c r="M16" s="134">
        <f t="shared" si="6"/>
        <v>0.22115451164610112</v>
      </c>
      <c r="N16" s="89"/>
      <c r="O16" s="95">
        <v>1500000</v>
      </c>
      <c r="P16" s="96">
        <v>0.42349999999999999</v>
      </c>
      <c r="Q16" s="97">
        <f>L16*P16</f>
        <v>6572381.3172613997</v>
      </c>
      <c r="R16" s="127">
        <f t="shared" si="7"/>
        <v>23278800.415329635</v>
      </c>
      <c r="X16" s="127"/>
    </row>
    <row r="17" spans="1:24" x14ac:dyDescent="0.25">
      <c r="A17" s="119"/>
      <c r="B17" s="294"/>
      <c r="C17" s="128">
        <v>7</v>
      </c>
      <c r="D17" s="129" t="s">
        <v>60</v>
      </c>
      <c r="E17" s="130">
        <v>4515150.5836684778</v>
      </c>
      <c r="F17" s="230"/>
      <c r="G17" s="223">
        <f t="shared" si="0"/>
        <v>4515150.5836684778</v>
      </c>
      <c r="H17" s="131">
        <f t="shared" si="1"/>
        <v>0</v>
      </c>
      <c r="I17" s="131">
        <f t="shared" si="2"/>
        <v>3915150.5836684778</v>
      </c>
      <c r="J17" s="132">
        <f t="shared" si="3"/>
        <v>7.0169355059545455E-2</v>
      </c>
      <c r="K17" s="131">
        <f t="shared" si="4"/>
        <v>-85758.794487649735</v>
      </c>
      <c r="L17" s="133">
        <f t="shared" si="5"/>
        <v>4429391.7891808283</v>
      </c>
      <c r="M17" s="134">
        <f t="shared" si="6"/>
        <v>6.3120519134254441E-2</v>
      </c>
      <c r="N17" s="89"/>
      <c r="O17" s="95">
        <v>1500000</v>
      </c>
      <c r="P17" s="96">
        <v>0.371</v>
      </c>
      <c r="Q17" s="97">
        <f>L17*P17</f>
        <v>1643304.3537860874</v>
      </c>
      <c r="R17" s="127">
        <f t="shared" si="7"/>
        <v>6644087.6837712424</v>
      </c>
      <c r="X17" s="127"/>
    </row>
    <row r="18" spans="1:24" x14ac:dyDescent="0.25">
      <c r="A18" s="119"/>
      <c r="B18" s="294"/>
      <c r="C18" s="128">
        <v>8</v>
      </c>
      <c r="D18" s="129" t="s">
        <v>49</v>
      </c>
      <c r="E18" s="130">
        <v>2390884.6554016834</v>
      </c>
      <c r="F18" s="230"/>
      <c r="G18" s="223">
        <f>SUM(E18, F18)</f>
        <v>2390884.6554016834</v>
      </c>
      <c r="H18" s="131">
        <f t="shared" si="1"/>
        <v>0</v>
      </c>
      <c r="I18" s="131">
        <f t="shared" si="2"/>
        <v>1790884.6554016834</v>
      </c>
      <c r="J18" s="132">
        <f t="shared" si="3"/>
        <v>3.2097161672342299E-2</v>
      </c>
      <c r="K18" s="131">
        <f t="shared" si="4"/>
        <v>-39228.148657763966</v>
      </c>
      <c r="L18" s="133">
        <f t="shared" si="5"/>
        <v>2351656.5067439196</v>
      </c>
      <c r="M18" s="134">
        <f t="shared" si="6"/>
        <v>3.3512000427168266E-2</v>
      </c>
      <c r="N18" s="89"/>
      <c r="O18" s="95">
        <v>1500000</v>
      </c>
      <c r="P18" s="96" t="s">
        <v>44</v>
      </c>
      <c r="Q18" s="97" t="s">
        <v>44</v>
      </c>
      <c r="R18" s="127">
        <f t="shared" si="7"/>
        <v>3527484.7601158796</v>
      </c>
    </row>
    <row r="19" spans="1:24" x14ac:dyDescent="0.25">
      <c r="A19" s="119"/>
      <c r="B19" s="294"/>
      <c r="C19" s="128">
        <v>9</v>
      </c>
      <c r="D19" s="129" t="s">
        <v>61</v>
      </c>
      <c r="E19" s="130">
        <v>5744342.9228081424</v>
      </c>
      <c r="F19" s="230"/>
      <c r="G19" s="223">
        <f>SUM(E19,F19)</f>
        <v>5744342.9228081424</v>
      </c>
      <c r="H19" s="131">
        <f t="shared" si="1"/>
        <v>0</v>
      </c>
      <c r="I19" s="131">
        <f t="shared" si="2"/>
        <v>5144342.9228081424</v>
      </c>
      <c r="J19" s="132">
        <f t="shared" si="3"/>
        <v>9.219957633413739E-2</v>
      </c>
      <c r="K19" s="131">
        <f t="shared" si="4"/>
        <v>-112683.44296420961</v>
      </c>
      <c r="L19" s="133">
        <f t="shared" si="5"/>
        <v>5631659.4798439331</v>
      </c>
      <c r="M19" s="134">
        <f t="shared" si="6"/>
        <v>8.0253291393949058E-2</v>
      </c>
      <c r="N19" s="89"/>
      <c r="O19" s="95">
        <v>1500000</v>
      </c>
      <c r="P19" s="96">
        <v>0.43049999999999999</v>
      </c>
      <c r="Q19" s="97">
        <f>L19*P19</f>
        <v>2424429.4060728131</v>
      </c>
      <c r="R19" s="127">
        <f t="shared" si="7"/>
        <v>8447489.2197658997</v>
      </c>
      <c r="X19" s="127"/>
    </row>
    <row r="20" spans="1:24" x14ac:dyDescent="0.25">
      <c r="A20" s="119"/>
      <c r="B20" s="294"/>
      <c r="C20" s="128">
        <v>10</v>
      </c>
      <c r="D20" s="129" t="s">
        <v>62</v>
      </c>
      <c r="E20" s="130">
        <v>1419457.1753000845</v>
      </c>
      <c r="F20" s="230"/>
      <c r="G20" s="223">
        <f>SUM(E20,F20)</f>
        <v>1419457.1753000845</v>
      </c>
      <c r="H20" s="131">
        <f t="shared" si="1"/>
        <v>0</v>
      </c>
      <c r="I20" s="131">
        <f t="shared" si="2"/>
        <v>819457.17530008452</v>
      </c>
      <c r="J20" s="132">
        <f t="shared" si="3"/>
        <v>1.4686735608479674E-2</v>
      </c>
      <c r="K20" s="131">
        <f t="shared" si="4"/>
        <v>-17949.669619640008</v>
      </c>
      <c r="L20" s="133">
        <f t="shared" si="5"/>
        <v>1401507.5056804444</v>
      </c>
      <c r="M20" s="134">
        <f t="shared" si="6"/>
        <v>1.997201546839554E-2</v>
      </c>
      <c r="N20" s="89"/>
      <c r="O20" s="95">
        <v>1500000</v>
      </c>
      <c r="P20" s="96" t="s">
        <v>44</v>
      </c>
      <c r="Q20" s="97" t="s">
        <v>44</v>
      </c>
      <c r="R20" s="127">
        <f t="shared" si="7"/>
        <v>2102261.2585206665</v>
      </c>
    </row>
    <row r="21" spans="1:24" x14ac:dyDescent="0.25">
      <c r="A21" s="119"/>
      <c r="B21" s="294"/>
      <c r="C21" s="128">
        <v>11</v>
      </c>
      <c r="D21" s="129" t="s">
        <v>50</v>
      </c>
      <c r="E21" s="130">
        <v>6471832.1018746849</v>
      </c>
      <c r="F21" s="268">
        <v>91705</v>
      </c>
      <c r="G21" s="223">
        <f>SUM(E21,F21)</f>
        <v>6563537.1018746849</v>
      </c>
      <c r="H21" s="131">
        <f t="shared" si="1"/>
        <v>0</v>
      </c>
      <c r="I21" s="131">
        <f t="shared" si="2"/>
        <v>5871832.1018746849</v>
      </c>
      <c r="J21" s="132">
        <f t="shared" si="3"/>
        <v>0.10523801391578112</v>
      </c>
      <c r="K21" s="131">
        <f t="shared" si="4"/>
        <v>-128618.61420891275</v>
      </c>
      <c r="L21" s="133">
        <f t="shared" si="5"/>
        <v>6343213.4876657724</v>
      </c>
      <c r="M21" s="134">
        <f t="shared" si="6"/>
        <v>9.0393206872972448E-2</v>
      </c>
      <c r="N21" s="89"/>
      <c r="O21" s="95">
        <v>1500000</v>
      </c>
      <c r="P21" s="96" t="s">
        <v>44</v>
      </c>
      <c r="Q21" s="97" t="s">
        <v>44</v>
      </c>
      <c r="R21" s="127">
        <f t="shared" si="7"/>
        <v>9514820.2314986587</v>
      </c>
    </row>
    <row r="22" spans="1:24" x14ac:dyDescent="0.25">
      <c r="A22" s="119"/>
      <c r="B22" s="294"/>
      <c r="C22" s="128">
        <v>12</v>
      </c>
      <c r="D22" s="129" t="s">
        <v>63</v>
      </c>
      <c r="E22" s="130">
        <v>908089.54935678747</v>
      </c>
      <c r="F22" s="230"/>
      <c r="G22" s="223">
        <f>SUM(E22,F22)</f>
        <v>908089.54935678747</v>
      </c>
      <c r="H22" s="131">
        <f t="shared" si="1"/>
        <v>0</v>
      </c>
      <c r="I22" s="131">
        <f t="shared" si="2"/>
        <v>308089.54935678747</v>
      </c>
      <c r="J22" s="132">
        <f t="shared" si="3"/>
        <v>5.5217403563301492E-3</v>
      </c>
      <c r="K22" s="131">
        <f t="shared" si="4"/>
        <v>-6748.4986292212134</v>
      </c>
      <c r="L22" s="133">
        <f t="shared" si="5"/>
        <v>901341.05072756624</v>
      </c>
      <c r="M22" s="134">
        <f t="shared" si="6"/>
        <v>1.2844453086743125E-2</v>
      </c>
      <c r="N22" s="89"/>
      <c r="O22" s="95">
        <f>PRODUCT(L22,1.5)</f>
        <v>1352011.5760913494</v>
      </c>
      <c r="P22" s="96" t="s">
        <v>44</v>
      </c>
      <c r="Q22" s="97" t="s">
        <v>44</v>
      </c>
      <c r="R22" s="127">
        <f t="shared" si="7"/>
        <v>1352011.5760913494</v>
      </c>
    </row>
    <row r="23" spans="1:24" ht="16.5" thickBot="1" x14ac:dyDescent="0.3">
      <c r="A23" s="119"/>
      <c r="B23" s="295"/>
      <c r="C23" s="135">
        <v>13</v>
      </c>
      <c r="D23" s="136" t="s">
        <v>64</v>
      </c>
      <c r="E23" s="137">
        <v>2534971.9281230466</v>
      </c>
      <c r="F23" s="231"/>
      <c r="G23" s="224">
        <f>SUM(E23,F23)</f>
        <v>2534971.9281230466</v>
      </c>
      <c r="H23" s="138">
        <f t="shared" si="1"/>
        <v>0</v>
      </c>
      <c r="I23" s="138">
        <f t="shared" si="2"/>
        <v>1934971.9281230466</v>
      </c>
      <c r="J23" s="139">
        <f t="shared" si="3"/>
        <v>3.4679568346895638E-2</v>
      </c>
      <c r="K23" s="138">
        <f t="shared" si="4"/>
        <v>-42384.285451363125</v>
      </c>
      <c r="L23" s="140">
        <f t="shared" si="5"/>
        <v>2492587.6426716833</v>
      </c>
      <c r="M23" s="141">
        <f t="shared" si="6"/>
        <v>3.5520322762453441E-2</v>
      </c>
      <c r="N23" s="89"/>
      <c r="O23" s="98">
        <v>1500000</v>
      </c>
      <c r="P23" s="99" t="s">
        <v>44</v>
      </c>
      <c r="Q23" s="100" t="s">
        <v>44</v>
      </c>
      <c r="R23" s="127">
        <f t="shared" si="7"/>
        <v>3738881.4640075248</v>
      </c>
    </row>
    <row r="24" spans="1:24" ht="16.5" thickBot="1" x14ac:dyDescent="0.3">
      <c r="A24" s="112"/>
      <c r="B24" s="142"/>
      <c r="C24" s="143"/>
      <c r="D24" s="144"/>
      <c r="E24" s="145"/>
      <c r="F24" s="232"/>
      <c r="G24" s="145"/>
      <c r="H24" s="146"/>
      <c r="I24" s="147"/>
      <c r="J24" s="148"/>
      <c r="K24" s="149"/>
      <c r="L24" s="150"/>
      <c r="M24" s="151"/>
      <c r="N24" s="89"/>
      <c r="O24" s="101"/>
      <c r="P24" s="152"/>
      <c r="Q24" s="152"/>
      <c r="R24" s="127">
        <f t="shared" si="7"/>
        <v>0</v>
      </c>
    </row>
    <row r="25" spans="1:24" x14ac:dyDescent="0.25">
      <c r="A25" s="119"/>
      <c r="B25" s="293" t="s">
        <v>51</v>
      </c>
      <c r="C25" s="153">
        <v>1</v>
      </c>
      <c r="D25" s="154" t="s">
        <v>43</v>
      </c>
      <c r="E25" s="122">
        <v>745038.41389438836</v>
      </c>
      <c r="F25" s="229"/>
      <c r="G25" s="222">
        <f t="shared" ref="G25:G37" si="8">SUM(E25,F25)</f>
        <v>745038.41389438836</v>
      </c>
      <c r="H25" s="123">
        <f t="shared" ref="H25:H37" si="9">IF(E25&lt;600000,600000-E25,0)</f>
        <v>0</v>
      </c>
      <c r="I25" s="123">
        <f t="shared" ref="I25:I37" si="10">IF(E25&gt;600000,E25-600000,0)</f>
        <v>145038.41389438836</v>
      </c>
      <c r="J25" s="124">
        <f t="shared" ref="J25:J37" si="11">IF(E25&gt;600000,(E25-600000)/$I$42,0)</f>
        <v>2.5994535189225367E-3</v>
      </c>
      <c r="K25" s="123">
        <f t="shared" ref="K25:K37" si="12">IF(E25&lt;600000,H25,-J25*$H$42)</f>
        <v>-3176.9709144440844</v>
      </c>
      <c r="L25" s="125">
        <f t="shared" ref="L25:L37" si="13">E25+K25</f>
        <v>741861.44297994429</v>
      </c>
      <c r="M25" s="126">
        <f>L25/$E$42</f>
        <v>1.0571807967170433E-2</v>
      </c>
      <c r="N25" s="89"/>
      <c r="O25" s="92">
        <f>PRODUCT(L25,1.5)</f>
        <v>1112792.1644699164</v>
      </c>
      <c r="P25"/>
      <c r="Q25"/>
      <c r="R25" s="127">
        <f t="shared" si="7"/>
        <v>1112792.1644699164</v>
      </c>
    </row>
    <row r="26" spans="1:24" x14ac:dyDescent="0.25">
      <c r="A26" s="119"/>
      <c r="B26" s="294"/>
      <c r="C26" s="155">
        <v>2</v>
      </c>
      <c r="D26" s="156" t="s">
        <v>45</v>
      </c>
      <c r="E26" s="130">
        <v>528280.22781665204</v>
      </c>
      <c r="F26" s="230"/>
      <c r="G26" s="223">
        <f t="shared" si="8"/>
        <v>528280.22781665204</v>
      </c>
      <c r="H26" s="131">
        <f t="shared" si="9"/>
        <v>71719.772183347959</v>
      </c>
      <c r="I26" s="131">
        <f t="shared" si="10"/>
        <v>0</v>
      </c>
      <c r="J26" s="132">
        <f t="shared" si="11"/>
        <v>0</v>
      </c>
      <c r="K26" s="131">
        <f t="shared" si="12"/>
        <v>71719.772183347959</v>
      </c>
      <c r="L26" s="133">
        <f t="shared" si="13"/>
        <v>600000</v>
      </c>
      <c r="M26" s="134">
        <f t="shared" ref="M26:M37" si="14">L26/$E$42</f>
        <v>8.5502284022513086E-3</v>
      </c>
      <c r="N26" s="89"/>
      <c r="O26" s="95">
        <f>PRODUCT(L26,1.5)</f>
        <v>900000</v>
      </c>
      <c r="P26"/>
      <c r="Q26"/>
      <c r="R26" s="127">
        <f t="shared" si="7"/>
        <v>900000</v>
      </c>
    </row>
    <row r="27" spans="1:24" x14ac:dyDescent="0.25">
      <c r="A27" s="119"/>
      <c r="B27" s="294"/>
      <c r="C27" s="155">
        <v>3</v>
      </c>
      <c r="D27" s="156" t="s">
        <v>59</v>
      </c>
      <c r="E27" s="130">
        <v>614692.29117618699</v>
      </c>
      <c r="F27" s="230"/>
      <c r="G27" s="223">
        <f t="shared" si="8"/>
        <v>614692.29117618699</v>
      </c>
      <c r="H27" s="131">
        <f t="shared" si="9"/>
        <v>0</v>
      </c>
      <c r="I27" s="131">
        <f t="shared" si="10"/>
        <v>14692.291176186991</v>
      </c>
      <c r="J27" s="132">
        <f t="shared" si="11"/>
        <v>2.6332284650315996E-4</v>
      </c>
      <c r="K27" s="131">
        <f t="shared" si="12"/>
        <v>-321.82495988461375</v>
      </c>
      <c r="L27" s="133">
        <f t="shared" si="13"/>
        <v>614370.46621630236</v>
      </c>
      <c r="M27" s="134">
        <f t="shared" si="14"/>
        <v>8.7550130162450113E-3</v>
      </c>
      <c r="N27" s="89"/>
      <c r="O27" s="95">
        <f>PRODUCT(L27,1.5)</f>
        <v>921555.69932445348</v>
      </c>
      <c r="P27"/>
      <c r="Q27"/>
      <c r="R27" s="127">
        <f t="shared" si="7"/>
        <v>921555.69932445348</v>
      </c>
    </row>
    <row r="28" spans="1:24" x14ac:dyDescent="0.25">
      <c r="A28" s="119"/>
      <c r="B28" s="294"/>
      <c r="C28" s="155">
        <v>4</v>
      </c>
      <c r="D28" s="156" t="s">
        <v>46</v>
      </c>
      <c r="E28" s="130">
        <v>1451307.925574186</v>
      </c>
      <c r="F28" s="230"/>
      <c r="G28" s="223">
        <f t="shared" si="8"/>
        <v>1451307.925574186</v>
      </c>
      <c r="H28" s="131">
        <f t="shared" si="9"/>
        <v>0</v>
      </c>
      <c r="I28" s="131">
        <f t="shared" si="10"/>
        <v>851307.92557418603</v>
      </c>
      <c r="J28" s="132">
        <f t="shared" si="11"/>
        <v>1.5257581239352499E-2</v>
      </c>
      <c r="K28" s="131">
        <f t="shared" si="12"/>
        <v>-18647.33932318299</v>
      </c>
      <c r="L28" s="133">
        <f t="shared" si="13"/>
        <v>1432660.586251003</v>
      </c>
      <c r="M28" s="134">
        <f t="shared" si="14"/>
        <v>2.0415958725582228E-2</v>
      </c>
      <c r="N28" s="89"/>
      <c r="O28" s="95">
        <v>1500000</v>
      </c>
      <c r="P28"/>
      <c r="Q28"/>
      <c r="R28" s="127">
        <f t="shared" si="7"/>
        <v>2148990.8793765046</v>
      </c>
    </row>
    <row r="29" spans="1:24" x14ac:dyDescent="0.25">
      <c r="A29" s="119"/>
      <c r="B29" s="294"/>
      <c r="C29" s="155">
        <v>5</v>
      </c>
      <c r="D29" s="156" t="s">
        <v>47</v>
      </c>
      <c r="E29" s="130">
        <v>1093291.1507504326</v>
      </c>
      <c r="F29" s="268">
        <v>147</v>
      </c>
      <c r="G29" s="223">
        <f t="shared" si="8"/>
        <v>1093438.1507504326</v>
      </c>
      <c r="H29" s="131">
        <f t="shared" si="9"/>
        <v>0</v>
      </c>
      <c r="I29" s="131">
        <f t="shared" si="10"/>
        <v>493291.15075043263</v>
      </c>
      <c r="J29" s="132">
        <f t="shared" si="11"/>
        <v>8.8410193082039228E-3</v>
      </c>
      <c r="K29" s="131">
        <f t="shared" si="12"/>
        <v>-10805.217708930086</v>
      </c>
      <c r="L29" s="133">
        <f t="shared" si="13"/>
        <v>1082485.9330415025</v>
      </c>
      <c r="M29" s="134">
        <f t="shared" si="14"/>
        <v>1.542583661621494E-2</v>
      </c>
      <c r="N29" s="89"/>
      <c r="O29" s="95">
        <v>1500000</v>
      </c>
      <c r="P29"/>
      <c r="Q29"/>
      <c r="R29" s="127">
        <f t="shared" si="7"/>
        <v>1623728.8995622536</v>
      </c>
    </row>
    <row r="30" spans="1:24" x14ac:dyDescent="0.25">
      <c r="A30" s="119"/>
      <c r="B30" s="294"/>
      <c r="C30" s="155">
        <v>6</v>
      </c>
      <c r="D30" s="156" t="s">
        <v>48</v>
      </c>
      <c r="E30" s="130">
        <v>538256.54930664471</v>
      </c>
      <c r="F30" s="230"/>
      <c r="G30" s="223">
        <f t="shared" si="8"/>
        <v>538256.54930664471</v>
      </c>
      <c r="H30" s="131">
        <f t="shared" si="9"/>
        <v>61743.450693355291</v>
      </c>
      <c r="I30" s="131">
        <f t="shared" si="10"/>
        <v>0</v>
      </c>
      <c r="J30" s="132">
        <f t="shared" si="11"/>
        <v>0</v>
      </c>
      <c r="K30" s="131">
        <f t="shared" si="12"/>
        <v>61743.450693355291</v>
      </c>
      <c r="L30" s="133">
        <f t="shared" si="13"/>
        <v>600000</v>
      </c>
      <c r="M30" s="134">
        <f t="shared" si="14"/>
        <v>8.5502284022513086E-3</v>
      </c>
      <c r="N30" s="89"/>
      <c r="O30" s="95">
        <v>900000</v>
      </c>
      <c r="P30"/>
      <c r="Q30"/>
      <c r="R30" s="127">
        <f t="shared" si="7"/>
        <v>900000</v>
      </c>
    </row>
    <row r="31" spans="1:24" x14ac:dyDescent="0.25">
      <c r="A31" s="119"/>
      <c r="B31" s="294"/>
      <c r="C31" s="155">
        <v>7</v>
      </c>
      <c r="D31" s="156" t="s">
        <v>60</v>
      </c>
      <c r="E31" s="130">
        <v>280773.49640070787</v>
      </c>
      <c r="F31" s="230"/>
      <c r="G31" s="223">
        <f t="shared" si="8"/>
        <v>280773.49640070787</v>
      </c>
      <c r="H31" s="131">
        <f t="shared" si="9"/>
        <v>319226.50359929213</v>
      </c>
      <c r="I31" s="131">
        <f t="shared" si="10"/>
        <v>0</v>
      </c>
      <c r="J31" s="132">
        <f t="shared" si="11"/>
        <v>0</v>
      </c>
      <c r="K31" s="131">
        <f t="shared" si="12"/>
        <v>319226.50359929213</v>
      </c>
      <c r="L31" s="133">
        <f t="shared" si="13"/>
        <v>600000</v>
      </c>
      <c r="M31" s="134">
        <f t="shared" si="14"/>
        <v>8.5502284022513086E-3</v>
      </c>
      <c r="N31" s="89"/>
      <c r="O31" s="95">
        <v>900000</v>
      </c>
      <c r="P31"/>
      <c r="Q31"/>
      <c r="R31" s="127">
        <f t="shared" si="7"/>
        <v>900000</v>
      </c>
    </row>
    <row r="32" spans="1:24" x14ac:dyDescent="0.25">
      <c r="A32" s="119"/>
      <c r="B32" s="294"/>
      <c r="C32" s="155">
        <v>8</v>
      </c>
      <c r="D32" s="156" t="s">
        <v>49</v>
      </c>
      <c r="E32" s="130">
        <v>725533.035751516</v>
      </c>
      <c r="F32" s="230"/>
      <c r="G32" s="223">
        <f t="shared" si="8"/>
        <v>725533.035751516</v>
      </c>
      <c r="H32" s="131">
        <f t="shared" si="9"/>
        <v>0</v>
      </c>
      <c r="I32" s="131">
        <f t="shared" si="10"/>
        <v>125533.035751516</v>
      </c>
      <c r="J32" s="132">
        <f t="shared" si="11"/>
        <v>2.2498680367734791E-3</v>
      </c>
      <c r="K32" s="131">
        <f t="shared" si="12"/>
        <v>-2749.7184551041628</v>
      </c>
      <c r="L32" s="133">
        <f t="shared" si="13"/>
        <v>722783.31729641184</v>
      </c>
      <c r="M32" s="134">
        <f t="shared" si="14"/>
        <v>1.0299937413702002E-2</v>
      </c>
      <c r="N32" s="89"/>
      <c r="O32" s="95">
        <f>PRODUCT(L32,1.5)</f>
        <v>1084174.9759446178</v>
      </c>
      <c r="P32"/>
      <c r="Q32"/>
      <c r="R32" s="127">
        <f t="shared" si="7"/>
        <v>1084174.9759446178</v>
      </c>
    </row>
    <row r="33" spans="1:18" x14ac:dyDescent="0.25">
      <c r="A33" s="119"/>
      <c r="B33" s="294"/>
      <c r="C33" s="155">
        <v>9</v>
      </c>
      <c r="D33" s="156" t="s">
        <v>61</v>
      </c>
      <c r="E33" s="130">
        <v>538205.89556534006</v>
      </c>
      <c r="F33" s="230"/>
      <c r="G33" s="223">
        <f t="shared" si="8"/>
        <v>538205.89556534006</v>
      </c>
      <c r="H33" s="131">
        <f t="shared" si="9"/>
        <v>61794.104434659937</v>
      </c>
      <c r="I33" s="131">
        <f t="shared" si="10"/>
        <v>0</v>
      </c>
      <c r="J33" s="132">
        <f t="shared" si="11"/>
        <v>0</v>
      </c>
      <c r="K33" s="131">
        <f t="shared" si="12"/>
        <v>61794.104434659937</v>
      </c>
      <c r="L33" s="133">
        <f t="shared" si="13"/>
        <v>600000</v>
      </c>
      <c r="M33" s="134">
        <f t="shared" si="14"/>
        <v>8.5502284022513086E-3</v>
      </c>
      <c r="N33" s="89"/>
      <c r="O33" s="95">
        <v>900000</v>
      </c>
      <c r="P33"/>
      <c r="Q33"/>
      <c r="R33" s="127">
        <f t="shared" si="7"/>
        <v>900000</v>
      </c>
    </row>
    <row r="34" spans="1:18" x14ac:dyDescent="0.25">
      <c r="A34" s="119"/>
      <c r="B34" s="294"/>
      <c r="C34" s="155">
        <v>10</v>
      </c>
      <c r="D34" s="156" t="s">
        <v>62</v>
      </c>
      <c r="E34" s="130">
        <v>721338.00009802729</v>
      </c>
      <c r="F34" s="230"/>
      <c r="G34" s="223">
        <f t="shared" si="8"/>
        <v>721338.00009802729</v>
      </c>
      <c r="H34" s="131">
        <f t="shared" si="9"/>
        <v>0</v>
      </c>
      <c r="I34" s="131">
        <f t="shared" si="10"/>
        <v>121338.00009802729</v>
      </c>
      <c r="J34" s="132">
        <f t="shared" si="11"/>
        <v>2.1746824366371789E-3</v>
      </c>
      <c r="K34" s="131">
        <f t="shared" si="12"/>
        <v>-2657.8289625322559</v>
      </c>
      <c r="L34" s="133">
        <f t="shared" si="13"/>
        <v>718680.17113549507</v>
      </c>
      <c r="M34" s="134">
        <f t="shared" si="14"/>
        <v>1.0241466018962569E-2</v>
      </c>
      <c r="N34" s="89"/>
      <c r="O34" s="95">
        <f>PRODUCT(L34,1.5)</f>
        <v>1078020.2567032427</v>
      </c>
      <c r="P34"/>
      <c r="Q34"/>
      <c r="R34" s="127">
        <f t="shared" si="7"/>
        <v>1078020.2567032427</v>
      </c>
    </row>
    <row r="35" spans="1:18" x14ac:dyDescent="0.25">
      <c r="A35" s="119"/>
      <c r="B35" s="294"/>
      <c r="C35" s="155">
        <v>11</v>
      </c>
      <c r="D35" s="156" t="s">
        <v>50</v>
      </c>
      <c r="E35" s="130">
        <v>1028609.6587392744</v>
      </c>
      <c r="F35" s="230"/>
      <c r="G35" s="223">
        <f t="shared" si="8"/>
        <v>1028609.6587392744</v>
      </c>
      <c r="H35" s="131">
        <f t="shared" si="9"/>
        <v>0</v>
      </c>
      <c r="I35" s="131">
        <f t="shared" si="10"/>
        <v>428609.65873927437</v>
      </c>
      <c r="J35" s="132">
        <f t="shared" si="11"/>
        <v>7.6817641322613883E-3</v>
      </c>
      <c r="K35" s="131">
        <f t="shared" si="12"/>
        <v>-9388.4122344029838</v>
      </c>
      <c r="L35" s="133">
        <f t="shared" si="13"/>
        <v>1019221.2465048714</v>
      </c>
      <c r="M35" s="134">
        <f t="shared" si="14"/>
        <v>1.4524290750073224E-2</v>
      </c>
      <c r="N35" s="89"/>
      <c r="O35" s="95">
        <v>1500000</v>
      </c>
      <c r="P35"/>
      <c r="Q35"/>
      <c r="R35" s="127">
        <f t="shared" si="7"/>
        <v>1528831.8697573072</v>
      </c>
    </row>
    <row r="36" spans="1:18" x14ac:dyDescent="0.25">
      <c r="A36" s="119"/>
      <c r="B36" s="294"/>
      <c r="C36" s="155">
        <v>12</v>
      </c>
      <c r="D36" s="156" t="s">
        <v>63</v>
      </c>
      <c r="E36" s="130">
        <v>427589.65276852099</v>
      </c>
      <c r="F36" s="230"/>
      <c r="G36" s="223">
        <f t="shared" si="8"/>
        <v>427589.65276852099</v>
      </c>
      <c r="H36" s="131">
        <f t="shared" si="9"/>
        <v>172410.34723147901</v>
      </c>
      <c r="I36" s="131">
        <f t="shared" si="10"/>
        <v>0</v>
      </c>
      <c r="J36" s="132">
        <f t="shared" si="11"/>
        <v>0</v>
      </c>
      <c r="K36" s="131">
        <f t="shared" si="12"/>
        <v>172410.34723147901</v>
      </c>
      <c r="L36" s="133">
        <f t="shared" si="13"/>
        <v>600000</v>
      </c>
      <c r="M36" s="134">
        <f t="shared" si="14"/>
        <v>8.5502284022513086E-3</v>
      </c>
      <c r="N36" s="89"/>
      <c r="O36" s="95">
        <v>900000</v>
      </c>
      <c r="P36"/>
      <c r="Q36"/>
      <c r="R36" s="127">
        <f t="shared" si="7"/>
        <v>900000</v>
      </c>
    </row>
    <row r="37" spans="1:18" ht="16.5" thickBot="1" x14ac:dyDescent="0.3">
      <c r="A37" s="119"/>
      <c r="B37" s="295"/>
      <c r="C37" s="157">
        <v>13</v>
      </c>
      <c r="D37" s="158" t="s">
        <v>64</v>
      </c>
      <c r="E37" s="137">
        <v>64725.406391629433</v>
      </c>
      <c r="F37" s="231"/>
      <c r="G37" s="224">
        <f t="shared" si="8"/>
        <v>64725.406391629433</v>
      </c>
      <c r="H37" s="138">
        <f t="shared" si="9"/>
        <v>535274.59360837052</v>
      </c>
      <c r="I37" s="159">
        <f t="shared" si="10"/>
        <v>0</v>
      </c>
      <c r="J37" s="139">
        <f t="shared" si="11"/>
        <v>0</v>
      </c>
      <c r="K37" s="138">
        <f t="shared" si="12"/>
        <v>535274.59360837052</v>
      </c>
      <c r="L37" s="140">
        <f t="shared" si="13"/>
        <v>600000</v>
      </c>
      <c r="M37" s="141">
        <f t="shared" si="14"/>
        <v>8.5502284022513086E-3</v>
      </c>
      <c r="N37" s="89"/>
      <c r="O37" s="98">
        <v>900000</v>
      </c>
      <c r="P37" s="102"/>
      <c r="Q37" s="103"/>
      <c r="R37" s="127">
        <f t="shared" si="7"/>
        <v>900000</v>
      </c>
    </row>
    <row r="38" spans="1:18" ht="16.5" thickBot="1" x14ac:dyDescent="0.3">
      <c r="A38" s="160"/>
      <c r="B38" s="110"/>
      <c r="C38" s="161"/>
      <c r="D38" s="161"/>
      <c r="E38" s="162"/>
      <c r="F38" s="233"/>
      <c r="G38" s="162"/>
      <c r="H38" s="162"/>
      <c r="I38" s="162"/>
      <c r="J38" s="161"/>
      <c r="K38" s="162"/>
      <c r="L38" s="163"/>
      <c r="M38" s="161"/>
      <c r="N38" s="89"/>
    </row>
    <row r="39" spans="1:18" x14ac:dyDescent="0.25">
      <c r="A39" s="106"/>
      <c r="B39" s="164"/>
      <c r="C39" s="161"/>
      <c r="D39" s="165" t="s">
        <v>52</v>
      </c>
      <c r="E39" s="123">
        <f>SUM(E11:E23)</f>
        <v>61415922.295766495</v>
      </c>
      <c r="F39" s="123">
        <f>SUM(F11:F23)</f>
        <v>91705</v>
      </c>
      <c r="G39" s="123">
        <f>SUM(G11:G23)</f>
        <v>61507627.295766495</v>
      </c>
      <c r="H39" s="123">
        <f>SUM(H11:H23)</f>
        <v>0</v>
      </c>
      <c r="I39" s="123">
        <f>SUM(I11:I23)</f>
        <v>53615922.295766495</v>
      </c>
      <c r="J39" s="166"/>
      <c r="K39" s="123">
        <f>SUM(K11:K23)</f>
        <v>-1174421.4591920231</v>
      </c>
      <c r="L39" s="125">
        <f>SUM(L11:L23)</f>
        <v>60241500.836574465</v>
      </c>
      <c r="M39" s="126">
        <f>L39/$E$42</f>
        <v>0.8584643190785417</v>
      </c>
      <c r="N39" s="167"/>
    </row>
    <row r="40" spans="1:18" ht="16.5" thickBot="1" x14ac:dyDescent="0.3">
      <c r="A40" s="106"/>
      <c r="B40" s="164"/>
      <c r="C40" s="161"/>
      <c r="D40" s="168" t="s">
        <v>53</v>
      </c>
      <c r="E40" s="159">
        <f>SUM(E25:E37)</f>
        <v>8757641.7042335067</v>
      </c>
      <c r="F40" s="159">
        <f>SUM(F25:F37)</f>
        <v>147</v>
      </c>
      <c r="G40" s="159">
        <f>SUM(G25:G37)</f>
        <v>8757788.7042335067</v>
      </c>
      <c r="H40" s="159">
        <f>SUM(H25:H37)</f>
        <v>1222168.7717505048</v>
      </c>
      <c r="I40" s="159">
        <f>SUM(I25:I37)</f>
        <v>2179810.4759840118</v>
      </c>
      <c r="J40" s="169"/>
      <c r="K40" s="159">
        <f>SUM(K25:K37)</f>
        <v>1174421.4591920236</v>
      </c>
      <c r="L40" s="140">
        <f>SUM(L25:L37)</f>
        <v>9932063.1634255312</v>
      </c>
      <c r="M40" s="170">
        <f>L40/$E$42</f>
        <v>0.14153568092145827</v>
      </c>
      <c r="N40" s="167"/>
    </row>
    <row r="41" spans="1:18" ht="16.5" thickBot="1" x14ac:dyDescent="0.3">
      <c r="A41" s="106"/>
      <c r="B41" s="164"/>
      <c r="C41" s="161"/>
      <c r="D41" s="171"/>
      <c r="E41" s="145"/>
      <c r="F41" s="232"/>
      <c r="G41" s="145"/>
      <c r="H41" s="145"/>
      <c r="I41" s="145"/>
      <c r="J41" s="172"/>
      <c r="K41" s="173"/>
      <c r="L41" s="174"/>
      <c r="M41" s="175"/>
      <c r="N41" s="167"/>
    </row>
    <row r="42" spans="1:18" x14ac:dyDescent="0.25">
      <c r="A42" s="106"/>
      <c r="B42" s="176"/>
      <c r="C42" s="161"/>
      <c r="D42" s="165" t="s">
        <v>54</v>
      </c>
      <c r="E42" s="123">
        <f>SUM(E39,E40)</f>
        <v>70173564</v>
      </c>
      <c r="F42" s="123">
        <f>SUM(F39,F40)</f>
        <v>91852</v>
      </c>
      <c r="G42" s="213">
        <f>SUM(G39,G40)</f>
        <v>70265416</v>
      </c>
      <c r="H42" s="213">
        <f>H39+H40</f>
        <v>1222168.7717505048</v>
      </c>
      <c r="I42" s="213">
        <f>I39+I40</f>
        <v>55795732.77175051</v>
      </c>
      <c r="J42" s="177"/>
      <c r="K42" s="178"/>
      <c r="L42" s="209">
        <f>L39+L40</f>
        <v>70173564</v>
      </c>
      <c r="M42" s="126">
        <f>L42/$E$45</f>
        <v>0.85000000121128239</v>
      </c>
      <c r="N42" s="167"/>
    </row>
    <row r="43" spans="1:18" x14ac:dyDescent="0.25">
      <c r="A43" s="106"/>
      <c r="B43" s="164"/>
      <c r="C43" s="161"/>
      <c r="D43" s="179" t="s">
        <v>55</v>
      </c>
      <c r="E43" s="180">
        <v>12383570</v>
      </c>
      <c r="F43" s="220">
        <v>1961782</v>
      </c>
      <c r="G43" s="181">
        <f>SUM(E43,F43)</f>
        <v>14345352</v>
      </c>
      <c r="H43" s="181"/>
      <c r="I43" s="182"/>
      <c r="J43" s="183"/>
      <c r="K43" s="184"/>
      <c r="L43" s="210">
        <f>E43</f>
        <v>12383570</v>
      </c>
      <c r="M43" s="185">
        <f t="shared" ref="M43:M45" si="15">L43/$E$45</f>
        <v>0.14999999878871764</v>
      </c>
      <c r="N43" s="167"/>
    </row>
    <row r="44" spans="1:18" x14ac:dyDescent="0.25">
      <c r="A44" s="106"/>
      <c r="B44" s="164"/>
      <c r="C44" s="186"/>
      <c r="D44" s="187" t="s">
        <v>56</v>
      </c>
      <c r="E44" s="188">
        <v>4127857</v>
      </c>
      <c r="F44" s="221"/>
      <c r="G44" s="189">
        <f>SUM(E44,F44)</f>
        <v>4127857</v>
      </c>
      <c r="H44" s="189"/>
      <c r="I44" s="190"/>
      <c r="J44" s="191"/>
      <c r="K44" s="192"/>
      <c r="L44" s="211">
        <f>E44</f>
        <v>4127857</v>
      </c>
      <c r="M44" s="185">
        <f t="shared" si="15"/>
        <v>5.0000003633847073E-2</v>
      </c>
      <c r="N44" s="167"/>
    </row>
    <row r="45" spans="1:18" ht="16.5" thickBot="1" x14ac:dyDescent="0.3">
      <c r="A45" s="106"/>
      <c r="B45" s="164"/>
      <c r="C45" s="186"/>
      <c r="D45" s="168" t="s">
        <v>30</v>
      </c>
      <c r="E45" s="193">
        <v>82557134</v>
      </c>
      <c r="F45" s="270">
        <f>SUM(F42:F44)</f>
        <v>2053634</v>
      </c>
      <c r="G45" s="269">
        <f>SUM(E45,F45)</f>
        <v>84610768</v>
      </c>
      <c r="H45" s="194"/>
      <c r="I45" s="195"/>
      <c r="J45" s="196"/>
      <c r="K45" s="197"/>
      <c r="L45" s="212">
        <f>L42+L43</f>
        <v>82557134</v>
      </c>
      <c r="M45" s="170">
        <f t="shared" si="15"/>
        <v>1</v>
      </c>
      <c r="N45" s="167"/>
    </row>
    <row r="46" spans="1:18" x14ac:dyDescent="0.25">
      <c r="A46" s="111"/>
      <c r="B46" s="198"/>
      <c r="C46" s="198"/>
      <c r="D46" s="111"/>
      <c r="E46" s="111"/>
      <c r="F46" s="234"/>
      <c r="G46" s="111"/>
      <c r="H46" s="111"/>
      <c r="I46" s="111"/>
      <c r="J46" s="111"/>
      <c r="K46" s="111"/>
      <c r="L46" s="111"/>
      <c r="M46" s="111"/>
      <c r="N46" s="111"/>
      <c r="Q46" s="103"/>
    </row>
    <row r="47" spans="1:18" x14ac:dyDescent="0.25">
      <c r="A47" s="106"/>
      <c r="B47" s="164"/>
      <c r="C47" s="164"/>
      <c r="D47" s="199" t="s">
        <v>57</v>
      </c>
      <c r="G47" s="200"/>
      <c r="H47" s="200"/>
      <c r="I47" s="200"/>
      <c r="J47" s="200"/>
      <c r="K47" s="201"/>
      <c r="L47" s="202"/>
      <c r="M47" s="200"/>
      <c r="N47" s="167"/>
      <c r="Q47" s="103"/>
    </row>
    <row r="48" spans="1:18" x14ac:dyDescent="0.25">
      <c r="A48" s="106"/>
      <c r="B48" s="164"/>
      <c r="C48" s="164"/>
      <c r="D48" s="199"/>
      <c r="G48" s="200"/>
      <c r="H48" s="200"/>
      <c r="I48" s="200"/>
      <c r="J48" s="200"/>
      <c r="K48" s="201"/>
      <c r="L48" s="202"/>
      <c r="M48" s="200"/>
      <c r="N48" s="167"/>
      <c r="Q48" s="103"/>
    </row>
    <row r="49" spans="1:25" ht="15.6" customHeight="1" x14ac:dyDescent="0.25">
      <c r="A49" s="203"/>
      <c r="B49" s="164"/>
      <c r="C49" s="164"/>
      <c r="D49" s="280" t="s">
        <v>92</v>
      </c>
      <c r="E49" s="280"/>
      <c r="F49" s="280"/>
      <c r="G49" s="280"/>
      <c r="H49" s="280"/>
      <c r="I49" s="280"/>
      <c r="J49" s="280"/>
      <c r="K49" s="280"/>
      <c r="L49" s="280"/>
      <c r="M49" s="280"/>
      <c r="N49" s="280"/>
      <c r="O49" s="280"/>
      <c r="P49" s="280"/>
      <c r="Q49" s="280"/>
    </row>
    <row r="50" spans="1:25" x14ac:dyDescent="0.25">
      <c r="A50" s="203"/>
      <c r="B50" s="164"/>
      <c r="C50" s="164"/>
      <c r="D50" s="280"/>
      <c r="E50" s="280"/>
      <c r="F50" s="280"/>
      <c r="G50" s="280"/>
      <c r="H50" s="280"/>
      <c r="I50" s="280"/>
      <c r="J50" s="280"/>
      <c r="K50" s="280"/>
      <c r="L50" s="280"/>
      <c r="M50" s="280"/>
      <c r="N50" s="280"/>
      <c r="O50" s="280"/>
      <c r="P50" s="280"/>
      <c r="Q50" s="280"/>
    </row>
    <row r="51" spans="1:25" x14ac:dyDescent="0.25">
      <c r="A51" s="203"/>
      <c r="B51" s="164"/>
      <c r="C51" s="164"/>
      <c r="D51" s="280"/>
      <c r="E51" s="280"/>
      <c r="F51" s="280"/>
      <c r="G51" s="280"/>
      <c r="H51" s="280"/>
      <c r="I51" s="280"/>
      <c r="J51" s="280"/>
      <c r="K51" s="280"/>
      <c r="L51" s="280"/>
      <c r="M51" s="280"/>
      <c r="N51" s="280"/>
      <c r="O51" s="280"/>
      <c r="P51" s="280"/>
      <c r="Q51" s="280"/>
    </row>
    <row r="52" spans="1:25" x14ac:dyDescent="0.25">
      <c r="A52" s="203"/>
      <c r="B52" s="164"/>
      <c r="C52" s="164"/>
      <c r="D52" s="280"/>
      <c r="E52" s="280"/>
      <c r="F52" s="280"/>
      <c r="G52" s="280"/>
      <c r="H52" s="280"/>
      <c r="I52" s="280"/>
      <c r="J52" s="280"/>
      <c r="K52" s="280"/>
      <c r="L52" s="280"/>
      <c r="M52" s="280"/>
      <c r="N52" s="280"/>
      <c r="O52" s="280"/>
      <c r="P52" s="280"/>
      <c r="Q52" s="280"/>
    </row>
    <row r="53" spans="1:25" ht="50.45" customHeight="1" x14ac:dyDescent="0.25">
      <c r="D53" s="280"/>
      <c r="E53" s="280"/>
      <c r="F53" s="280"/>
      <c r="G53" s="280"/>
      <c r="H53" s="280"/>
      <c r="I53" s="280"/>
      <c r="J53" s="280"/>
      <c r="K53" s="280"/>
      <c r="L53" s="280"/>
      <c r="M53" s="280"/>
      <c r="N53" s="280"/>
      <c r="O53" s="280"/>
      <c r="P53" s="280"/>
      <c r="Q53" s="280"/>
      <c r="W53" s="261" t="s">
        <v>93</v>
      </c>
      <c r="X53" s="262"/>
      <c r="Y53" s="263">
        <v>82557134</v>
      </c>
    </row>
    <row r="54" spans="1:25" x14ac:dyDescent="0.25">
      <c r="D54"/>
      <c r="E54"/>
      <c r="F54" s="235"/>
      <c r="G54"/>
      <c r="H54"/>
      <c r="I54"/>
      <c r="J54"/>
      <c r="K54"/>
      <c r="L54"/>
      <c r="M54"/>
      <c r="N54"/>
      <c r="O54"/>
      <c r="P54"/>
      <c r="Q54"/>
      <c r="W54" s="257">
        <v>0.15</v>
      </c>
      <c r="X54" s="104" t="s">
        <v>94</v>
      </c>
      <c r="Y54" s="258">
        <f>PRODUCT(Y53,W54)</f>
        <v>12383570.1</v>
      </c>
    </row>
    <row r="55" spans="1:25" x14ac:dyDescent="0.25">
      <c r="D55"/>
      <c r="E55"/>
      <c r="F55" s="235"/>
      <c r="G55"/>
      <c r="H55"/>
      <c r="I55"/>
      <c r="J55"/>
      <c r="K55"/>
      <c r="L55"/>
      <c r="M55"/>
      <c r="N55"/>
      <c r="O55"/>
      <c r="P55"/>
      <c r="Q55"/>
      <c r="W55" s="257"/>
      <c r="X55" s="259">
        <v>0.05</v>
      </c>
      <c r="Y55" s="260">
        <f>PRODUCT(Y53,X55)</f>
        <v>4127856.7</v>
      </c>
    </row>
    <row r="56" spans="1:25" x14ac:dyDescent="0.25">
      <c r="G56"/>
      <c r="H56"/>
      <c r="I56"/>
      <c r="J56"/>
      <c r="K56"/>
      <c r="L56"/>
      <c r="M56"/>
      <c r="N56"/>
      <c r="O56"/>
      <c r="P56"/>
      <c r="Q56"/>
    </row>
    <row r="57" spans="1:25" ht="30" hidden="1" x14ac:dyDescent="0.25">
      <c r="D57" s="207" t="s">
        <v>67</v>
      </c>
      <c r="E57" s="205">
        <v>28995881</v>
      </c>
      <c r="F57" s="204"/>
      <c r="G57"/>
      <c r="H57"/>
      <c r="I57"/>
      <c r="J57"/>
      <c r="K57"/>
      <c r="L57"/>
      <c r="M57"/>
      <c r="N57"/>
      <c r="O57"/>
      <c r="P57"/>
      <c r="Q57"/>
    </row>
    <row r="58" spans="1:25" hidden="1" x14ac:dyDescent="0.25">
      <c r="D58" s="104" t="s">
        <v>68</v>
      </c>
      <c r="E58" s="206">
        <v>2.8125</v>
      </c>
      <c r="F58" s="204"/>
    </row>
    <row r="59" spans="1:25" s="104" customFormat="1" ht="15" hidden="1" x14ac:dyDescent="0.25">
      <c r="F59" s="204"/>
    </row>
    <row r="60" spans="1:25" s="104" customFormat="1" ht="15" hidden="1" x14ac:dyDescent="0.25">
      <c r="D60" s="104" t="s">
        <v>69</v>
      </c>
      <c r="E60" s="204">
        <f>PRODUCT(E57,E58)</f>
        <v>81550915.3125</v>
      </c>
      <c r="F60" s="204"/>
    </row>
    <row r="61" spans="1:25" s="104" customFormat="1" ht="15" x14ac:dyDescent="0.25">
      <c r="F61" s="204"/>
      <c r="X61" s="262" t="s">
        <v>95</v>
      </c>
      <c r="Y61" s="264">
        <v>70173564</v>
      </c>
    </row>
    <row r="62" spans="1:25" s="104" customFormat="1" ht="15" x14ac:dyDescent="0.25">
      <c r="F62" s="204"/>
    </row>
    <row r="63" spans="1:25" s="104" customFormat="1" ht="15" x14ac:dyDescent="0.25">
      <c r="F63" s="204"/>
    </row>
    <row r="64" spans="1:25" s="104" customFormat="1" ht="15" x14ac:dyDescent="0.25">
      <c r="F64" s="204"/>
    </row>
    <row r="65" spans="6:6" s="104" customFormat="1" ht="15" x14ac:dyDescent="0.25">
      <c r="F65" s="204"/>
    </row>
    <row r="66" spans="6:6" s="104" customFormat="1" ht="15" x14ac:dyDescent="0.25">
      <c r="F66" s="204"/>
    </row>
    <row r="67" spans="6:6" s="104" customFormat="1" ht="15" x14ac:dyDescent="0.25">
      <c r="F67" s="204"/>
    </row>
    <row r="68" spans="6:6" s="104" customFormat="1" ht="15" x14ac:dyDescent="0.25">
      <c r="F68" s="204"/>
    </row>
    <row r="69" spans="6:6" s="104" customFormat="1" ht="15" x14ac:dyDescent="0.25">
      <c r="F69" s="204"/>
    </row>
    <row r="70" spans="6:6" s="104" customFormat="1" ht="15" x14ac:dyDescent="0.25">
      <c r="F70" s="204"/>
    </row>
    <row r="71" spans="6:6" s="104" customFormat="1" ht="15" x14ac:dyDescent="0.25">
      <c r="F71" s="204"/>
    </row>
    <row r="72" spans="6:6" s="104" customFormat="1" ht="15" x14ac:dyDescent="0.25">
      <c r="F72" s="204"/>
    </row>
    <row r="73" spans="6:6" s="104" customFormat="1" ht="15" x14ac:dyDescent="0.25">
      <c r="F73" s="204"/>
    </row>
    <row r="74" spans="6:6" s="104" customFormat="1" ht="15" x14ac:dyDescent="0.25">
      <c r="F74" s="204"/>
    </row>
    <row r="75" spans="6:6" s="104" customFormat="1" ht="15" x14ac:dyDescent="0.25">
      <c r="F75" s="204"/>
    </row>
    <row r="76" spans="6:6" s="104" customFormat="1" ht="15" x14ac:dyDescent="0.25">
      <c r="F76" s="204"/>
    </row>
    <row r="77" spans="6:6" s="104" customFormat="1" ht="15" x14ac:dyDescent="0.25">
      <c r="F77" s="204"/>
    </row>
    <row r="78" spans="6:6" s="104" customFormat="1" ht="15" x14ac:dyDescent="0.25">
      <c r="F78" s="204"/>
    </row>
    <row r="79" spans="6:6" s="104" customFormat="1" ht="15" x14ac:dyDescent="0.25">
      <c r="F79" s="204"/>
    </row>
    <row r="80" spans="6:6" s="104" customFormat="1" ht="15" x14ac:dyDescent="0.25">
      <c r="F80" s="204"/>
    </row>
    <row r="81" spans="6:6" s="104" customFormat="1" ht="15" x14ac:dyDescent="0.25">
      <c r="F81" s="204"/>
    </row>
    <row r="82" spans="6:6" s="104" customFormat="1" ht="15" x14ac:dyDescent="0.25">
      <c r="F82" s="204"/>
    </row>
    <row r="83" spans="6:6" s="104" customFormat="1" ht="15" x14ac:dyDescent="0.25">
      <c r="F83" s="204"/>
    </row>
    <row r="84" spans="6:6" s="104" customFormat="1" ht="15" x14ac:dyDescent="0.25">
      <c r="F84" s="204"/>
    </row>
    <row r="85" spans="6:6" s="104" customFormat="1" ht="15" x14ac:dyDescent="0.25">
      <c r="F85" s="204"/>
    </row>
    <row r="86" spans="6:6" s="104" customFormat="1" ht="15" x14ac:dyDescent="0.25">
      <c r="F86" s="204"/>
    </row>
    <row r="87" spans="6:6" s="104" customFormat="1" ht="15" x14ac:dyDescent="0.25">
      <c r="F87" s="204"/>
    </row>
    <row r="88" spans="6:6" s="104" customFormat="1" ht="15" x14ac:dyDescent="0.25">
      <c r="F88" s="204"/>
    </row>
    <row r="89" spans="6:6" s="104" customFormat="1" ht="15" x14ac:dyDescent="0.25">
      <c r="F89" s="204"/>
    </row>
    <row r="90" spans="6:6" s="104" customFormat="1" ht="15" x14ac:dyDescent="0.25">
      <c r="F90" s="204"/>
    </row>
    <row r="91" spans="6:6" s="104" customFormat="1" ht="15" x14ac:dyDescent="0.25">
      <c r="F91" s="204"/>
    </row>
    <row r="92" spans="6:6" s="104" customFormat="1" ht="15" x14ac:dyDescent="0.25">
      <c r="F92" s="204"/>
    </row>
    <row r="93" spans="6:6" s="104" customFormat="1" ht="15" x14ac:dyDescent="0.25">
      <c r="F93" s="204"/>
    </row>
    <row r="94" spans="6:6" s="104" customFormat="1" ht="15" x14ac:dyDescent="0.25">
      <c r="F94" s="204"/>
    </row>
    <row r="95" spans="6:6" s="104" customFormat="1" ht="15" x14ac:dyDescent="0.25">
      <c r="F95" s="204"/>
    </row>
    <row r="96" spans="6:6" s="104" customFormat="1" ht="15" x14ac:dyDescent="0.25">
      <c r="F96" s="204"/>
    </row>
    <row r="97" spans="6:6" s="104" customFormat="1" ht="15" x14ac:dyDescent="0.25">
      <c r="F97" s="204"/>
    </row>
    <row r="98" spans="6:6" s="104" customFormat="1" ht="15" x14ac:dyDescent="0.25">
      <c r="F98" s="204"/>
    </row>
    <row r="99" spans="6:6" s="104" customFormat="1" ht="15" x14ac:dyDescent="0.25">
      <c r="F99" s="204"/>
    </row>
    <row r="100" spans="6:6" s="104" customFormat="1" ht="15" x14ac:dyDescent="0.25">
      <c r="F100" s="204"/>
    </row>
    <row r="101" spans="6:6" s="104" customFormat="1" ht="15" x14ac:dyDescent="0.25">
      <c r="F101" s="204"/>
    </row>
    <row r="102" spans="6:6" s="104" customFormat="1" ht="15" x14ac:dyDescent="0.25">
      <c r="F102" s="204"/>
    </row>
    <row r="103" spans="6:6" s="104" customFormat="1" ht="15" x14ac:dyDescent="0.25">
      <c r="F103" s="204"/>
    </row>
    <row r="104" spans="6:6" s="104" customFormat="1" ht="15" x14ac:dyDescent="0.25">
      <c r="F104" s="204"/>
    </row>
    <row r="105" spans="6:6" s="104" customFormat="1" ht="15" x14ac:dyDescent="0.25">
      <c r="F105" s="204"/>
    </row>
    <row r="106" spans="6:6" s="104" customFormat="1" ht="15" x14ac:dyDescent="0.25">
      <c r="F106" s="204"/>
    </row>
    <row r="107" spans="6:6" s="104" customFormat="1" ht="15" x14ac:dyDescent="0.25">
      <c r="F107" s="204"/>
    </row>
    <row r="108" spans="6:6" s="104" customFormat="1" ht="15" x14ac:dyDescent="0.25">
      <c r="F108" s="204"/>
    </row>
    <row r="109" spans="6:6" s="104" customFormat="1" ht="15" x14ac:dyDescent="0.25">
      <c r="F109" s="204"/>
    </row>
    <row r="110" spans="6:6" s="104" customFormat="1" ht="15" x14ac:dyDescent="0.25">
      <c r="F110" s="204"/>
    </row>
    <row r="111" spans="6:6" s="104" customFormat="1" ht="15" x14ac:dyDescent="0.25">
      <c r="F111" s="204"/>
    </row>
    <row r="112" spans="6:6" s="104" customFormat="1" ht="15" x14ac:dyDescent="0.25">
      <c r="F112" s="204"/>
    </row>
    <row r="113" spans="6:6" s="104" customFormat="1" ht="15" x14ac:dyDescent="0.25">
      <c r="F113" s="204"/>
    </row>
    <row r="114" spans="6:6" s="104" customFormat="1" ht="15" x14ac:dyDescent="0.25">
      <c r="F114" s="204"/>
    </row>
    <row r="115" spans="6:6" s="104" customFormat="1" ht="15" x14ac:dyDescent="0.25">
      <c r="F115" s="204"/>
    </row>
    <row r="116" spans="6:6" s="104" customFormat="1" ht="15" x14ac:dyDescent="0.25">
      <c r="F116" s="204"/>
    </row>
    <row r="117" spans="6:6" s="104" customFormat="1" ht="15" x14ac:dyDescent="0.25">
      <c r="F117" s="204"/>
    </row>
    <row r="118" spans="6:6" s="104" customFormat="1" ht="15" x14ac:dyDescent="0.25">
      <c r="F118" s="204"/>
    </row>
    <row r="119" spans="6:6" s="104" customFormat="1" ht="15" x14ac:dyDescent="0.25">
      <c r="F119" s="204"/>
    </row>
    <row r="120" spans="6:6" s="104" customFormat="1" ht="15" x14ac:dyDescent="0.25">
      <c r="F120" s="204"/>
    </row>
    <row r="121" spans="6:6" s="104" customFormat="1" ht="15" x14ac:dyDescent="0.25">
      <c r="F121" s="204"/>
    </row>
    <row r="122" spans="6:6" s="104" customFormat="1" ht="15" x14ac:dyDescent="0.25">
      <c r="F122" s="204"/>
    </row>
    <row r="123" spans="6:6" s="104" customFormat="1" ht="15" x14ac:dyDescent="0.25">
      <c r="F123" s="204"/>
    </row>
    <row r="124" spans="6:6" s="104" customFormat="1" ht="15" x14ac:dyDescent="0.25">
      <c r="F124" s="204"/>
    </row>
    <row r="125" spans="6:6" s="104" customFormat="1" ht="15" x14ac:dyDescent="0.25">
      <c r="F125" s="204"/>
    </row>
    <row r="126" spans="6:6" s="104" customFormat="1" ht="15" x14ac:dyDescent="0.25">
      <c r="F126" s="204"/>
    </row>
    <row r="127" spans="6:6" s="104" customFormat="1" ht="15" x14ac:dyDescent="0.25">
      <c r="F127" s="204"/>
    </row>
    <row r="128" spans="6:6" s="104" customFormat="1" ht="15" x14ac:dyDescent="0.25">
      <c r="F128" s="204"/>
    </row>
    <row r="129" spans="6:6" s="104" customFormat="1" ht="15" x14ac:dyDescent="0.25">
      <c r="F129" s="204"/>
    </row>
    <row r="130" spans="6:6" s="104" customFormat="1" ht="15" x14ac:dyDescent="0.25">
      <c r="F130" s="204"/>
    </row>
    <row r="131" spans="6:6" s="104" customFormat="1" ht="15" x14ac:dyDescent="0.25">
      <c r="F131" s="204"/>
    </row>
    <row r="132" spans="6:6" s="104" customFormat="1" ht="15" x14ac:dyDescent="0.25">
      <c r="F132" s="204"/>
    </row>
    <row r="133" spans="6:6" s="104" customFormat="1" ht="15" x14ac:dyDescent="0.25">
      <c r="F133" s="204"/>
    </row>
    <row r="134" spans="6:6" s="104" customFormat="1" ht="15" x14ac:dyDescent="0.25">
      <c r="F134" s="204"/>
    </row>
    <row r="135" spans="6:6" s="104" customFormat="1" ht="15" x14ac:dyDescent="0.25">
      <c r="F135" s="204"/>
    </row>
    <row r="136" spans="6:6" s="104" customFormat="1" ht="15" x14ac:dyDescent="0.25">
      <c r="F136" s="204"/>
    </row>
    <row r="137" spans="6:6" s="104" customFormat="1" ht="15" x14ac:dyDescent="0.25">
      <c r="F137" s="204"/>
    </row>
    <row r="138" spans="6:6" s="104" customFormat="1" ht="15" x14ac:dyDescent="0.25">
      <c r="F138" s="204"/>
    </row>
    <row r="139" spans="6:6" s="104" customFormat="1" ht="15" x14ac:dyDescent="0.25">
      <c r="F139" s="204"/>
    </row>
    <row r="140" spans="6:6" s="104" customFormat="1" ht="15" x14ac:dyDescent="0.25">
      <c r="F140" s="204"/>
    </row>
    <row r="141" spans="6:6" s="104" customFormat="1" ht="15" x14ac:dyDescent="0.25">
      <c r="F141" s="204"/>
    </row>
    <row r="142" spans="6:6" s="104" customFormat="1" ht="15" x14ac:dyDescent="0.25">
      <c r="F142" s="204"/>
    </row>
    <row r="143" spans="6:6" s="104" customFormat="1" ht="15" x14ac:dyDescent="0.25">
      <c r="F143" s="204"/>
    </row>
    <row r="144" spans="6:6" s="104" customFormat="1" ht="15" x14ac:dyDescent="0.25">
      <c r="F144" s="204"/>
    </row>
    <row r="145" spans="6:6" s="104" customFormat="1" ht="15" x14ac:dyDescent="0.25">
      <c r="F145" s="204"/>
    </row>
    <row r="146" spans="6:6" s="104" customFormat="1" ht="15" x14ac:dyDescent="0.25">
      <c r="F146" s="204"/>
    </row>
    <row r="147" spans="6:6" s="104" customFormat="1" ht="15" x14ac:dyDescent="0.25">
      <c r="F147" s="204"/>
    </row>
    <row r="148" spans="6:6" s="104" customFormat="1" ht="15" x14ac:dyDescent="0.25">
      <c r="F148" s="204"/>
    </row>
    <row r="149" spans="6:6" s="104" customFormat="1" ht="15" x14ac:dyDescent="0.25">
      <c r="F149" s="204"/>
    </row>
    <row r="150" spans="6:6" s="104" customFormat="1" ht="15" x14ac:dyDescent="0.25">
      <c r="F150" s="204"/>
    </row>
    <row r="151" spans="6:6" s="104" customFormat="1" ht="15" x14ac:dyDescent="0.25">
      <c r="F151" s="204"/>
    </row>
    <row r="152" spans="6:6" s="104" customFormat="1" ht="15" x14ac:dyDescent="0.25">
      <c r="F152" s="204"/>
    </row>
    <row r="153" spans="6:6" s="104" customFormat="1" ht="15" x14ac:dyDescent="0.25">
      <c r="F153" s="204"/>
    </row>
    <row r="154" spans="6:6" s="104" customFormat="1" ht="15" x14ac:dyDescent="0.25">
      <c r="F154" s="204"/>
    </row>
    <row r="155" spans="6:6" s="104" customFormat="1" ht="15" x14ac:dyDescent="0.25">
      <c r="F155" s="204"/>
    </row>
    <row r="156" spans="6:6" s="104" customFormat="1" ht="15" x14ac:dyDescent="0.25">
      <c r="F156" s="204"/>
    </row>
    <row r="157" spans="6:6" s="104" customFormat="1" ht="15" x14ac:dyDescent="0.25">
      <c r="F157" s="204"/>
    </row>
    <row r="158" spans="6:6" s="104" customFormat="1" ht="15" x14ac:dyDescent="0.25">
      <c r="F158" s="204"/>
    </row>
    <row r="159" spans="6:6" s="104" customFormat="1" ht="15" x14ac:dyDescent="0.25">
      <c r="F159" s="204"/>
    </row>
    <row r="160" spans="6:6" s="104" customFormat="1" ht="15" x14ac:dyDescent="0.25">
      <c r="F160" s="204"/>
    </row>
    <row r="161" spans="6:6" s="104" customFormat="1" ht="15" x14ac:dyDescent="0.25">
      <c r="F161" s="204"/>
    </row>
    <row r="162" spans="6:6" s="104" customFormat="1" ht="15" x14ac:dyDescent="0.25">
      <c r="F162" s="204"/>
    </row>
    <row r="163" spans="6:6" s="104" customFormat="1" ht="15" x14ac:dyDescent="0.25">
      <c r="F163" s="204"/>
    </row>
    <row r="164" spans="6:6" s="104" customFormat="1" ht="15" x14ac:dyDescent="0.25">
      <c r="F164" s="204"/>
    </row>
    <row r="165" spans="6:6" s="104" customFormat="1" ht="15" x14ac:dyDescent="0.25">
      <c r="F165" s="204"/>
    </row>
    <row r="166" spans="6:6" s="104" customFormat="1" ht="15" x14ac:dyDescent="0.25">
      <c r="F166" s="204"/>
    </row>
    <row r="167" spans="6:6" s="104" customFormat="1" ht="15" x14ac:dyDescent="0.25">
      <c r="F167" s="204"/>
    </row>
    <row r="168" spans="6:6" s="104" customFormat="1" ht="15" x14ac:dyDescent="0.25">
      <c r="F168" s="204"/>
    </row>
    <row r="169" spans="6:6" s="104" customFormat="1" ht="15" x14ac:dyDescent="0.25">
      <c r="F169" s="204"/>
    </row>
    <row r="170" spans="6:6" s="104" customFormat="1" ht="15" x14ac:dyDescent="0.25">
      <c r="F170" s="204"/>
    </row>
    <row r="171" spans="6:6" s="104" customFormat="1" ht="15" x14ac:dyDescent="0.25">
      <c r="F171" s="204"/>
    </row>
    <row r="172" spans="6:6" s="104" customFormat="1" ht="15" x14ac:dyDescent="0.25">
      <c r="F172" s="204"/>
    </row>
    <row r="173" spans="6:6" s="104" customFormat="1" ht="15" x14ac:dyDescent="0.25">
      <c r="F173" s="204"/>
    </row>
    <row r="174" spans="6:6" s="104" customFormat="1" ht="15" x14ac:dyDescent="0.25">
      <c r="F174" s="204"/>
    </row>
    <row r="175" spans="6:6" s="104" customFormat="1" ht="15" x14ac:dyDescent="0.25">
      <c r="F175" s="204"/>
    </row>
    <row r="176" spans="6:6" s="104" customFormat="1" ht="15" x14ac:dyDescent="0.25">
      <c r="F176" s="204"/>
    </row>
    <row r="177" spans="6:6" s="104" customFormat="1" ht="15" x14ac:dyDescent="0.25">
      <c r="F177" s="204"/>
    </row>
    <row r="178" spans="6:6" s="104" customFormat="1" ht="15" x14ac:dyDescent="0.25">
      <c r="F178" s="204"/>
    </row>
    <row r="179" spans="6:6" s="104" customFormat="1" ht="15" x14ac:dyDescent="0.25">
      <c r="F179" s="204"/>
    </row>
    <row r="180" spans="6:6" s="104" customFormat="1" ht="15" x14ac:dyDescent="0.25">
      <c r="F180" s="204"/>
    </row>
    <row r="181" spans="6:6" s="104" customFormat="1" ht="15" x14ac:dyDescent="0.25">
      <c r="F181" s="204"/>
    </row>
    <row r="182" spans="6:6" s="104" customFormat="1" ht="15" x14ac:dyDescent="0.25">
      <c r="F182" s="204"/>
    </row>
    <row r="183" spans="6:6" s="104" customFormat="1" ht="15" x14ac:dyDescent="0.25">
      <c r="F183" s="204"/>
    </row>
    <row r="184" spans="6:6" s="104" customFormat="1" ht="15" x14ac:dyDescent="0.25">
      <c r="F184" s="204"/>
    </row>
    <row r="185" spans="6:6" s="104" customFormat="1" ht="15" x14ac:dyDescent="0.25">
      <c r="F185" s="204"/>
    </row>
    <row r="186" spans="6:6" s="104" customFormat="1" ht="15" x14ac:dyDescent="0.25">
      <c r="F186" s="204"/>
    </row>
    <row r="187" spans="6:6" s="104" customFormat="1" ht="15" x14ac:dyDescent="0.25">
      <c r="F187" s="204"/>
    </row>
    <row r="188" spans="6:6" s="104" customFormat="1" ht="15" x14ac:dyDescent="0.25">
      <c r="F188" s="204"/>
    </row>
    <row r="189" spans="6:6" s="104" customFormat="1" ht="15" x14ac:dyDescent="0.25">
      <c r="F189" s="204"/>
    </row>
    <row r="190" spans="6:6" s="104" customFormat="1" ht="15" x14ac:dyDescent="0.25">
      <c r="F190" s="204"/>
    </row>
    <row r="191" spans="6:6" s="104" customFormat="1" ht="15" x14ac:dyDescent="0.25">
      <c r="F191" s="204"/>
    </row>
    <row r="192" spans="6:6" s="104" customFormat="1" ht="15" x14ac:dyDescent="0.25">
      <c r="F192" s="204"/>
    </row>
    <row r="193" spans="6:6" s="104" customFormat="1" ht="15" x14ac:dyDescent="0.25">
      <c r="F193" s="204"/>
    </row>
    <row r="194" spans="6:6" s="104" customFormat="1" ht="15" x14ac:dyDescent="0.25">
      <c r="F194" s="204"/>
    </row>
    <row r="195" spans="6:6" s="104" customFormat="1" ht="15" x14ac:dyDescent="0.25">
      <c r="F195" s="204"/>
    </row>
    <row r="196" spans="6:6" s="104" customFormat="1" ht="15" x14ac:dyDescent="0.25">
      <c r="F196" s="204"/>
    </row>
    <row r="197" spans="6:6" s="104" customFormat="1" ht="15" x14ac:dyDescent="0.25">
      <c r="F197" s="204"/>
    </row>
    <row r="198" spans="6:6" s="104" customFormat="1" ht="15" x14ac:dyDescent="0.25">
      <c r="F198" s="204"/>
    </row>
    <row r="199" spans="6:6" s="104" customFormat="1" ht="15" x14ac:dyDescent="0.25">
      <c r="F199" s="204"/>
    </row>
    <row r="200" spans="6:6" s="104" customFormat="1" ht="15" x14ac:dyDescent="0.25">
      <c r="F200" s="204"/>
    </row>
    <row r="201" spans="6:6" s="104" customFormat="1" ht="15" x14ac:dyDescent="0.25">
      <c r="F201" s="204"/>
    </row>
    <row r="202" spans="6:6" s="104" customFormat="1" ht="15" x14ac:dyDescent="0.25">
      <c r="F202" s="204"/>
    </row>
    <row r="203" spans="6:6" s="104" customFormat="1" ht="15" x14ac:dyDescent="0.25">
      <c r="F203" s="204"/>
    </row>
    <row r="204" spans="6:6" s="104" customFormat="1" ht="15" x14ac:dyDescent="0.25">
      <c r="F204" s="204"/>
    </row>
    <row r="205" spans="6:6" s="104" customFormat="1" ht="15" x14ac:dyDescent="0.25">
      <c r="F205" s="204"/>
    </row>
    <row r="206" spans="6:6" s="104" customFormat="1" ht="15" x14ac:dyDescent="0.25">
      <c r="F206" s="204"/>
    </row>
    <row r="207" spans="6:6" s="104" customFormat="1" ht="15" x14ac:dyDescent="0.25">
      <c r="F207" s="204"/>
    </row>
    <row r="208" spans="6:6" s="104" customFormat="1" ht="15" x14ac:dyDescent="0.25">
      <c r="F208" s="204"/>
    </row>
    <row r="209" spans="6:6" s="104" customFormat="1" ht="15" x14ac:dyDescent="0.25">
      <c r="F209" s="204"/>
    </row>
    <row r="210" spans="6:6" s="104" customFormat="1" ht="15" x14ac:dyDescent="0.25">
      <c r="F210" s="204"/>
    </row>
    <row r="211" spans="6:6" s="104" customFormat="1" ht="15" x14ac:dyDescent="0.25">
      <c r="F211" s="204"/>
    </row>
    <row r="212" spans="6:6" s="104" customFormat="1" ht="15" x14ac:dyDescent="0.25">
      <c r="F212" s="204"/>
    </row>
    <row r="213" spans="6:6" s="104" customFormat="1" ht="15" x14ac:dyDescent="0.25">
      <c r="F213" s="204"/>
    </row>
    <row r="214" spans="6:6" s="104" customFormat="1" ht="15" x14ac:dyDescent="0.25">
      <c r="F214" s="204"/>
    </row>
    <row r="215" spans="6:6" s="104" customFormat="1" ht="15" x14ac:dyDescent="0.25">
      <c r="F215" s="204"/>
    </row>
    <row r="216" spans="6:6" s="104" customFormat="1" ht="15" x14ac:dyDescent="0.25">
      <c r="F216" s="204"/>
    </row>
    <row r="217" spans="6:6" s="104" customFormat="1" ht="15" x14ac:dyDescent="0.25">
      <c r="F217" s="204"/>
    </row>
    <row r="218" spans="6:6" s="104" customFormat="1" ht="15" x14ac:dyDescent="0.25">
      <c r="F218" s="204"/>
    </row>
    <row r="219" spans="6:6" s="104" customFormat="1" ht="15" x14ac:dyDescent="0.25">
      <c r="F219" s="204"/>
    </row>
    <row r="220" spans="6:6" s="104" customFormat="1" ht="15" x14ac:dyDescent="0.25">
      <c r="F220" s="204"/>
    </row>
    <row r="221" spans="6:6" s="104" customFormat="1" ht="15" x14ac:dyDescent="0.25">
      <c r="F221" s="204"/>
    </row>
    <row r="222" spans="6:6" s="104" customFormat="1" ht="15" x14ac:dyDescent="0.25">
      <c r="F222" s="204"/>
    </row>
    <row r="223" spans="6:6" s="104" customFormat="1" ht="15" x14ac:dyDescent="0.25">
      <c r="F223" s="204"/>
    </row>
    <row r="224" spans="6:6" s="104" customFormat="1" ht="15" x14ac:dyDescent="0.25">
      <c r="F224" s="204"/>
    </row>
    <row r="225" spans="6:6" s="104" customFormat="1" ht="15" x14ac:dyDescent="0.25">
      <c r="F225" s="204"/>
    </row>
    <row r="226" spans="6:6" s="104" customFormat="1" ht="15" x14ac:dyDescent="0.25">
      <c r="F226" s="204"/>
    </row>
    <row r="227" spans="6:6" s="104" customFormat="1" ht="15" x14ac:dyDescent="0.25">
      <c r="F227" s="204"/>
    </row>
    <row r="228" spans="6:6" s="104" customFormat="1" ht="15" x14ac:dyDescent="0.25">
      <c r="F228" s="204"/>
    </row>
    <row r="229" spans="6:6" s="104" customFormat="1" ht="15" x14ac:dyDescent="0.25">
      <c r="F229" s="204"/>
    </row>
    <row r="230" spans="6:6" s="104" customFormat="1" ht="15" x14ac:dyDescent="0.25">
      <c r="F230" s="204"/>
    </row>
    <row r="231" spans="6:6" s="104" customFormat="1" ht="15" x14ac:dyDescent="0.25">
      <c r="F231" s="204"/>
    </row>
    <row r="232" spans="6:6" s="104" customFormat="1" ht="15" x14ac:dyDescent="0.25">
      <c r="F232" s="204"/>
    </row>
    <row r="233" spans="6:6" s="104" customFormat="1" ht="15" x14ac:dyDescent="0.25">
      <c r="F233" s="204"/>
    </row>
    <row r="234" spans="6:6" s="104" customFormat="1" ht="15" x14ac:dyDescent="0.25">
      <c r="F234" s="204"/>
    </row>
    <row r="235" spans="6:6" s="104" customFormat="1" ht="15" x14ac:dyDescent="0.25">
      <c r="F235" s="204"/>
    </row>
    <row r="236" spans="6:6" s="104" customFormat="1" ht="15" x14ac:dyDescent="0.25">
      <c r="F236" s="204"/>
    </row>
    <row r="237" spans="6:6" s="104" customFormat="1" ht="15" x14ac:dyDescent="0.25">
      <c r="F237" s="204"/>
    </row>
    <row r="238" spans="6:6" s="104" customFormat="1" ht="15" x14ac:dyDescent="0.25">
      <c r="F238" s="204"/>
    </row>
    <row r="239" spans="6:6" s="104" customFormat="1" ht="15" x14ac:dyDescent="0.25">
      <c r="F239" s="204"/>
    </row>
    <row r="240" spans="6:6" s="104" customFormat="1" ht="15" x14ac:dyDescent="0.25">
      <c r="F240" s="204"/>
    </row>
    <row r="241" spans="6:6" s="104" customFormat="1" ht="15" x14ac:dyDescent="0.25">
      <c r="F241" s="204"/>
    </row>
    <row r="242" spans="6:6" s="104" customFormat="1" ht="15" x14ac:dyDescent="0.25">
      <c r="F242" s="204"/>
    </row>
    <row r="243" spans="6:6" s="104" customFormat="1" ht="15" x14ac:dyDescent="0.25">
      <c r="F243" s="204"/>
    </row>
    <row r="244" spans="6:6" s="104" customFormat="1" ht="15" x14ac:dyDescent="0.25">
      <c r="F244" s="204"/>
    </row>
    <row r="245" spans="6:6" s="104" customFormat="1" ht="15" x14ac:dyDescent="0.25">
      <c r="F245" s="204"/>
    </row>
    <row r="246" spans="6:6" s="104" customFormat="1" ht="15" x14ac:dyDescent="0.25">
      <c r="F246" s="204"/>
    </row>
    <row r="247" spans="6:6" s="104" customFormat="1" ht="15" x14ac:dyDescent="0.25">
      <c r="F247" s="204"/>
    </row>
    <row r="248" spans="6:6" s="104" customFormat="1" ht="15" x14ac:dyDescent="0.25">
      <c r="F248" s="204"/>
    </row>
    <row r="249" spans="6:6" s="104" customFormat="1" ht="15" x14ac:dyDescent="0.25">
      <c r="F249" s="204"/>
    </row>
    <row r="250" spans="6:6" s="104" customFormat="1" ht="15" x14ac:dyDescent="0.25">
      <c r="F250" s="204"/>
    </row>
    <row r="251" spans="6:6" s="104" customFormat="1" ht="15" x14ac:dyDescent="0.25">
      <c r="F251" s="204"/>
    </row>
    <row r="252" spans="6:6" s="104" customFormat="1" ht="15" x14ac:dyDescent="0.25">
      <c r="F252" s="204"/>
    </row>
    <row r="253" spans="6:6" s="104" customFormat="1" ht="15" x14ac:dyDescent="0.25">
      <c r="F253" s="204"/>
    </row>
    <row r="254" spans="6:6" s="104" customFormat="1" ht="15" x14ac:dyDescent="0.25">
      <c r="F254" s="204"/>
    </row>
    <row r="255" spans="6:6" s="104" customFormat="1" ht="15" x14ac:dyDescent="0.25">
      <c r="F255" s="204"/>
    </row>
    <row r="256" spans="6:6" s="104" customFormat="1" ht="15" x14ac:dyDescent="0.25">
      <c r="F256" s="204"/>
    </row>
    <row r="257" spans="6:6" s="104" customFormat="1" ht="15" x14ac:dyDescent="0.25">
      <c r="F257" s="204"/>
    </row>
    <row r="258" spans="6:6" s="104" customFormat="1" ht="15" x14ac:dyDescent="0.25">
      <c r="F258" s="204"/>
    </row>
    <row r="259" spans="6:6" s="104" customFormat="1" ht="15" x14ac:dyDescent="0.25">
      <c r="F259" s="204"/>
    </row>
    <row r="260" spans="6:6" s="104" customFormat="1" ht="15" x14ac:dyDescent="0.25">
      <c r="F260" s="204"/>
    </row>
    <row r="261" spans="6:6" s="104" customFormat="1" ht="15" x14ac:dyDescent="0.25">
      <c r="F261" s="204"/>
    </row>
    <row r="262" spans="6:6" s="104" customFormat="1" ht="15" x14ac:dyDescent="0.25">
      <c r="F262" s="204"/>
    </row>
    <row r="263" spans="6:6" s="104" customFormat="1" ht="15" x14ac:dyDescent="0.25">
      <c r="F263" s="204"/>
    </row>
    <row r="264" spans="6:6" s="104" customFormat="1" ht="15" x14ac:dyDescent="0.25">
      <c r="F264" s="204"/>
    </row>
    <row r="265" spans="6:6" s="104" customFormat="1" ht="15" x14ac:dyDescent="0.25">
      <c r="F265" s="204"/>
    </row>
    <row r="266" spans="6:6" s="104" customFormat="1" ht="15" x14ac:dyDescent="0.25">
      <c r="F266" s="204"/>
    </row>
    <row r="267" spans="6:6" s="104" customFormat="1" ht="15" x14ac:dyDescent="0.25">
      <c r="F267" s="204"/>
    </row>
    <row r="268" spans="6:6" s="104" customFormat="1" ht="15" x14ac:dyDescent="0.25">
      <c r="F268" s="204"/>
    </row>
    <row r="269" spans="6:6" s="104" customFormat="1" ht="15" x14ac:dyDescent="0.25">
      <c r="F269" s="204"/>
    </row>
    <row r="270" spans="6:6" s="104" customFormat="1" ht="15" x14ac:dyDescent="0.25">
      <c r="F270" s="204"/>
    </row>
  </sheetData>
  <sheetProtection sheet="1" objects="1" scenarios="1"/>
  <mergeCells count="8">
    <mergeCell ref="A5:Q5"/>
    <mergeCell ref="D49:Q53"/>
    <mergeCell ref="C7:M8"/>
    <mergeCell ref="O7:O8"/>
    <mergeCell ref="P7:Q8"/>
    <mergeCell ref="B11:B23"/>
    <mergeCell ref="B25:B37"/>
    <mergeCell ref="C9:D9"/>
  </mergeCells>
  <pageMargins left="0.2" right="0.2" top="0.25" bottom="0.25" header="0.05" footer="0.3"/>
  <pageSetup scale="52" orientation="landscape" r:id="rId1"/>
  <ignoredErrors>
    <ignoredError sqref="G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0"/>
  <sheetViews>
    <sheetView workbookViewId="0">
      <selection activeCell="I10" sqref="I10"/>
    </sheetView>
  </sheetViews>
  <sheetFormatPr defaultRowHeight="15" x14ac:dyDescent="0.25"/>
  <cols>
    <col min="8" max="8" width="10.85546875" bestFit="1" customWidth="1"/>
  </cols>
  <sheetData>
    <row r="4" spans="1:8" x14ac:dyDescent="0.25">
      <c r="A4" t="s">
        <v>96</v>
      </c>
      <c r="D4" s="265" t="s">
        <v>97</v>
      </c>
    </row>
    <row r="7" spans="1:8" x14ac:dyDescent="0.25">
      <c r="A7" s="266">
        <v>44222</v>
      </c>
      <c r="C7" s="267" t="s">
        <v>99</v>
      </c>
      <c r="G7" t="s">
        <v>98</v>
      </c>
      <c r="H7" s="267">
        <v>147</v>
      </c>
    </row>
    <row r="8" spans="1:8" x14ac:dyDescent="0.25">
      <c r="A8" s="266">
        <v>44270</v>
      </c>
      <c r="C8" t="s">
        <v>99</v>
      </c>
      <c r="G8" t="s">
        <v>100</v>
      </c>
      <c r="H8" s="267">
        <v>53393</v>
      </c>
    </row>
    <row r="9" spans="1:8" x14ac:dyDescent="0.25">
      <c r="A9" s="266">
        <v>44276</v>
      </c>
      <c r="C9" t="s">
        <v>99</v>
      </c>
      <c r="G9" t="s">
        <v>100</v>
      </c>
      <c r="H9" s="267">
        <v>38312</v>
      </c>
    </row>
    <row r="10" spans="1:8" x14ac:dyDescent="0.25">
      <c r="A10" s="266">
        <v>44287</v>
      </c>
      <c r="C10" t="s">
        <v>99</v>
      </c>
      <c r="G10" t="s">
        <v>94</v>
      </c>
      <c r="H10" s="267">
        <v>1961782</v>
      </c>
    </row>
  </sheetData>
  <hyperlinks>
    <hyperlink ref="D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9"/>
  <sheetViews>
    <sheetView topLeftCell="A13" workbookViewId="0">
      <selection activeCell="C26" sqref="C26"/>
    </sheetView>
  </sheetViews>
  <sheetFormatPr defaultRowHeight="15" x14ac:dyDescent="0.25"/>
  <cols>
    <col min="2" max="2" width="43.42578125" customWidth="1"/>
    <col min="3" max="3" width="19.28515625" customWidth="1"/>
    <col min="9" max="9" width="13.42578125" customWidth="1"/>
    <col min="10" max="10" width="13.85546875" customWidth="1"/>
  </cols>
  <sheetData>
    <row r="4" spans="1:10" x14ac:dyDescent="0.25">
      <c r="A4" s="244" t="s">
        <v>73</v>
      </c>
    </row>
    <row r="5" spans="1:10" x14ac:dyDescent="0.25">
      <c r="A5" s="244"/>
      <c r="C5" s="245" t="s">
        <v>74</v>
      </c>
    </row>
    <row r="6" spans="1:10" x14ac:dyDescent="0.25">
      <c r="A6">
        <v>2020</v>
      </c>
      <c r="B6" s="104" t="s">
        <v>80</v>
      </c>
      <c r="C6" s="252">
        <v>28995881</v>
      </c>
    </row>
    <row r="7" spans="1:10" ht="15.75" thickBot="1" x14ac:dyDescent="0.3">
      <c r="A7">
        <v>2021</v>
      </c>
      <c r="B7" s="104" t="s">
        <v>81</v>
      </c>
      <c r="C7" s="253">
        <v>2.8125</v>
      </c>
    </row>
    <row r="8" spans="1:10" ht="2.4500000000000002" customHeight="1" thickTop="1" x14ac:dyDescent="0.25">
      <c r="B8" s="104"/>
      <c r="C8" s="252"/>
    </row>
    <row r="9" spans="1:10" x14ac:dyDescent="0.25">
      <c r="B9" s="245" t="s">
        <v>90</v>
      </c>
      <c r="C9" s="254">
        <f>PRODUCT(C6,C7)</f>
        <v>81550915.3125</v>
      </c>
    </row>
    <row r="12" spans="1:10" x14ac:dyDescent="0.25">
      <c r="A12" s="236" t="s">
        <v>75</v>
      </c>
      <c r="C12" s="237"/>
      <c r="D12" s="237"/>
      <c r="E12" s="237"/>
      <c r="F12" s="237"/>
      <c r="G12" s="237"/>
      <c r="H12" s="237"/>
      <c r="I12" s="238"/>
      <c r="J12" s="239"/>
    </row>
    <row r="13" spans="1:10" x14ac:dyDescent="0.25">
      <c r="A13" s="236"/>
      <c r="C13" s="237"/>
      <c r="D13" s="237"/>
      <c r="E13" s="237"/>
      <c r="F13" s="237"/>
      <c r="G13" s="237"/>
      <c r="H13" s="237"/>
      <c r="I13" s="238"/>
      <c r="J13" s="239"/>
    </row>
    <row r="14" spans="1:10" x14ac:dyDescent="0.25">
      <c r="A14" s="236"/>
      <c r="B14" s="248" t="s">
        <v>86</v>
      </c>
      <c r="C14" s="247" t="s">
        <v>76</v>
      </c>
      <c r="D14" s="237"/>
      <c r="E14" s="237"/>
      <c r="F14" s="237"/>
      <c r="G14" s="237"/>
      <c r="H14" s="237"/>
      <c r="I14" s="238"/>
      <c r="J14" s="239"/>
    </row>
    <row r="15" spans="1:10" x14ac:dyDescent="0.25">
      <c r="A15" s="237"/>
      <c r="B15" t="s">
        <v>82</v>
      </c>
      <c r="C15" s="238">
        <v>0</v>
      </c>
      <c r="D15" s="237"/>
      <c r="E15" s="237"/>
      <c r="F15" s="237"/>
      <c r="G15" s="237"/>
      <c r="H15" s="237"/>
      <c r="I15" s="238"/>
      <c r="J15" s="239"/>
    </row>
    <row r="16" spans="1:10" x14ac:dyDescent="0.25">
      <c r="A16" s="237"/>
      <c r="B16" t="s">
        <v>83</v>
      </c>
      <c r="C16" s="238">
        <v>0</v>
      </c>
      <c r="D16" s="237"/>
      <c r="E16" s="237"/>
      <c r="F16" s="237"/>
      <c r="G16" s="237"/>
      <c r="H16" s="237"/>
      <c r="I16" s="238"/>
      <c r="J16" s="239"/>
    </row>
    <row r="17" spans="1:10" x14ac:dyDescent="0.25">
      <c r="A17" s="237"/>
      <c r="B17" t="s">
        <v>84</v>
      </c>
      <c r="C17" s="238">
        <v>0</v>
      </c>
      <c r="D17" s="237"/>
      <c r="E17" s="237"/>
      <c r="F17" s="237"/>
      <c r="G17" s="237"/>
      <c r="H17" s="237"/>
      <c r="I17" s="238"/>
      <c r="J17" s="239"/>
    </row>
    <row r="18" spans="1:10" ht="15.75" thickBot="1" x14ac:dyDescent="0.3">
      <c r="B18" s="237" t="s">
        <v>85</v>
      </c>
      <c r="C18" s="251">
        <v>0</v>
      </c>
      <c r="D18" s="237"/>
      <c r="E18" s="237"/>
      <c r="F18" s="237"/>
      <c r="G18" s="237"/>
      <c r="H18" s="237"/>
      <c r="I18" s="238"/>
      <c r="J18" s="239"/>
    </row>
    <row r="19" spans="1:10" ht="15.75" thickTop="1" x14ac:dyDescent="0.25">
      <c r="B19" s="247" t="s">
        <v>87</v>
      </c>
      <c r="C19" s="255">
        <f>SUM(C15:C18)</f>
        <v>0</v>
      </c>
      <c r="D19" s="237"/>
      <c r="E19" s="237"/>
      <c r="F19" s="237"/>
      <c r="G19" s="237"/>
      <c r="H19" s="237"/>
      <c r="I19" s="246"/>
      <c r="J19" s="239"/>
    </row>
    <row r="20" spans="1:10" x14ac:dyDescent="0.25">
      <c r="B20" s="237"/>
      <c r="C20" s="238"/>
      <c r="D20" s="237"/>
      <c r="E20" s="237"/>
      <c r="F20" s="237"/>
      <c r="G20" s="237"/>
      <c r="H20" s="237"/>
      <c r="I20" s="241"/>
      <c r="J20" s="239"/>
    </row>
    <row r="21" spans="1:10" x14ac:dyDescent="0.25">
      <c r="B21" s="249" t="s">
        <v>91</v>
      </c>
      <c r="C21" s="256" t="s">
        <v>76</v>
      </c>
      <c r="D21" s="237"/>
      <c r="E21" s="237"/>
      <c r="F21" s="237"/>
      <c r="G21" s="237"/>
      <c r="H21" s="237"/>
      <c r="I21" s="241"/>
      <c r="J21" s="239"/>
    </row>
    <row r="22" spans="1:10" x14ac:dyDescent="0.25">
      <c r="B22" s="237" t="s">
        <v>77</v>
      </c>
      <c r="C22" s="238">
        <v>0</v>
      </c>
      <c r="D22" s="237"/>
      <c r="E22" s="237"/>
      <c r="F22" s="237"/>
      <c r="G22" s="237"/>
      <c r="H22" s="237"/>
      <c r="I22" s="238"/>
      <c r="J22" s="239"/>
    </row>
    <row r="23" spans="1:10" x14ac:dyDescent="0.25">
      <c r="B23" s="237" t="s">
        <v>78</v>
      </c>
      <c r="C23" s="238">
        <v>0</v>
      </c>
      <c r="D23" s="237"/>
      <c r="E23" s="237"/>
      <c r="F23" s="237"/>
      <c r="G23" s="237"/>
      <c r="H23" s="237"/>
      <c r="I23" s="241"/>
      <c r="J23" s="239"/>
    </row>
    <row r="24" spans="1:10" x14ac:dyDescent="0.25">
      <c r="B24" s="237" t="s">
        <v>79</v>
      </c>
      <c r="C24" s="250">
        <f>PRODUCT(C19*0.2)</f>
        <v>0</v>
      </c>
      <c r="D24" s="240"/>
      <c r="E24" s="240"/>
      <c r="F24" s="240"/>
      <c r="G24" s="240"/>
      <c r="H24" s="240"/>
      <c r="I24" s="241"/>
      <c r="J24" s="239"/>
    </row>
    <row r="25" spans="1:10" ht="15.75" thickBot="1" x14ac:dyDescent="0.3">
      <c r="B25" s="237" t="s">
        <v>88</v>
      </c>
      <c r="C25" s="251">
        <f>PRODUCT(C19*0.1)</f>
        <v>0</v>
      </c>
      <c r="D25" s="240"/>
      <c r="E25" s="240"/>
      <c r="F25" s="240"/>
      <c r="G25" s="240"/>
      <c r="H25" s="240"/>
      <c r="I25" s="241"/>
      <c r="J25" s="239"/>
    </row>
    <row r="26" spans="1:10" ht="15.75" thickTop="1" x14ac:dyDescent="0.25">
      <c r="B26" s="247" t="s">
        <v>89</v>
      </c>
      <c r="C26" s="250">
        <v>0</v>
      </c>
      <c r="D26" s="240"/>
      <c r="E26" s="240"/>
      <c r="F26" s="240"/>
      <c r="G26" s="240"/>
      <c r="H26" s="240"/>
      <c r="I26" s="241"/>
      <c r="J26" s="242"/>
    </row>
    <row r="27" spans="1:10" x14ac:dyDescent="0.25">
      <c r="B27" s="237"/>
      <c r="C27" s="240"/>
      <c r="D27" s="240"/>
      <c r="E27" s="240"/>
      <c r="F27" s="240"/>
      <c r="G27" s="240"/>
      <c r="H27" s="240"/>
      <c r="I27" s="250"/>
      <c r="J27" s="239"/>
    </row>
    <row r="28" spans="1:10" x14ac:dyDescent="0.25">
      <c r="B28" s="237"/>
      <c r="C28" s="240"/>
      <c r="D28" s="240"/>
      <c r="E28" s="240"/>
      <c r="F28" s="240"/>
      <c r="G28" s="240"/>
      <c r="H28" s="240"/>
      <c r="I28" s="250"/>
      <c r="J28" s="239"/>
    </row>
    <row r="29" spans="1:10" x14ac:dyDescent="0.25">
      <c r="B29" s="239"/>
      <c r="C29" s="239"/>
      <c r="D29" s="239"/>
      <c r="E29" s="239"/>
      <c r="F29" s="239"/>
      <c r="G29" s="239"/>
      <c r="H29" s="239"/>
      <c r="I29" s="243"/>
      <c r="J29" s="2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HTC</vt:lpstr>
      <vt:lpstr>9HTC</vt:lpstr>
      <vt:lpstr>Ceiling and Request Limits</vt:lpstr>
      <vt:lpstr>Change Log</vt:lpstr>
      <vt:lpstr>Sheet1</vt:lpstr>
      <vt:lpstr>'Ceiling and Request Limits'!Print_Area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HTC Award Limits and Estimated Regional Allocation (XLSX) (April 1)</dc:title>
  <dc:creator>TDHCA</dc:creator>
  <cp:keywords>9% HTC Award Limits and Estimated Regional Allocation (XLSX) (April 1)</cp:keywords>
  <cp:lastModifiedBy>Jason Burr</cp:lastModifiedBy>
  <cp:lastPrinted>2020-12-07T02:24:51Z</cp:lastPrinted>
  <dcterms:created xsi:type="dcterms:W3CDTF">2017-05-16T15:49:01Z</dcterms:created>
  <dcterms:modified xsi:type="dcterms:W3CDTF">2021-04-12T20:47:31Z</dcterms:modified>
  <cp:category>2021 9HTC ceilings</cp:category>
</cp:coreProperties>
</file>